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4080" windowWidth="30768" windowHeight="12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D168" i="1"/>
  <c r="Z135"/>
  <c r="AA141"/>
  <c r="AA189"/>
  <c r="G37"/>
  <c r="H37"/>
  <c r="I37" s="1"/>
  <c r="J37" s="1"/>
  <c r="K37" s="1"/>
  <c r="L37" s="1"/>
  <c r="M37" s="1"/>
  <c r="N37" s="1"/>
  <c r="O37" s="1"/>
  <c r="P37" s="1"/>
  <c r="Q37" s="1"/>
  <c r="R37" s="1"/>
  <c r="S37" s="1"/>
  <c r="T37" s="1"/>
  <c r="U37" s="1"/>
  <c r="V37" s="1"/>
  <c r="W37" s="1"/>
  <c r="X37" s="1"/>
  <c r="F37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Z222"/>
  <c r="Z175"/>
  <c r="Z128"/>
  <c r="AA119"/>
  <c r="F48"/>
  <c r="F49" s="1"/>
  <c r="F46"/>
  <c r="Z125" s="1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10"/>
  <c r="AA111"/>
  <c r="AA236"/>
  <c r="X41"/>
  <c r="W41" s="1"/>
  <c r="V41" s="1"/>
  <c r="U41" s="1"/>
  <c r="T41" s="1"/>
  <c r="S41" s="1"/>
  <c r="R41" s="1"/>
  <c r="Q41" s="1"/>
  <c r="P41" s="1"/>
  <c r="O41" s="1"/>
  <c r="N41" s="1"/>
  <c r="M41" s="1"/>
  <c r="L41" s="1"/>
  <c r="K41" s="1"/>
  <c r="J41" s="1"/>
  <c r="I41" s="1"/>
  <c r="H41" s="1"/>
  <c r="G41" s="1"/>
  <c r="F41" s="1"/>
  <c r="AA235"/>
  <c r="AA233"/>
  <c r="AA232"/>
  <c r="AA231"/>
  <c r="AA230"/>
  <c r="AA229"/>
  <c r="AA228"/>
  <c r="AA227"/>
  <c r="AA226"/>
  <c r="AA223"/>
  <c r="AA222"/>
  <c r="AA221"/>
  <c r="AA220"/>
  <c r="AA218"/>
  <c r="AA217"/>
  <c r="AA216"/>
  <c r="AA215"/>
  <c r="AA214"/>
  <c r="AA210"/>
  <c r="AA209"/>
  <c r="AA206"/>
  <c r="AA205"/>
  <c r="AA204"/>
  <c r="AA203"/>
  <c r="AA202"/>
  <c r="Z202"/>
  <c r="AA201"/>
  <c r="AA200"/>
  <c r="AA199"/>
  <c r="AA198"/>
  <c r="AA197"/>
  <c r="AA196"/>
  <c r="AA195"/>
  <c r="AA194"/>
  <c r="AA193"/>
  <c r="AA192"/>
  <c r="AA188"/>
  <c r="AA186"/>
  <c r="AA185"/>
  <c r="AA184"/>
  <c r="AA183"/>
  <c r="AA182"/>
  <c r="AA181"/>
  <c r="AA180"/>
  <c r="AA179"/>
  <c r="AA176"/>
  <c r="AA175"/>
  <c r="AA174"/>
  <c r="AA173"/>
  <c r="AA171"/>
  <c r="AA170"/>
  <c r="AA169"/>
  <c r="AA168"/>
  <c r="AA167"/>
  <c r="AA145"/>
  <c r="AA147"/>
  <c r="AA148"/>
  <c r="AA149"/>
  <c r="AA150"/>
  <c r="AA152"/>
  <c r="AA153"/>
  <c r="AA154"/>
  <c r="AA155"/>
  <c r="AA156"/>
  <c r="AA159"/>
  <c r="AA162"/>
  <c r="AA146"/>
  <c r="AA132"/>
  <c r="AA133"/>
  <c r="AA134"/>
  <c r="AA135"/>
  <c r="AA136"/>
  <c r="AA137"/>
  <c r="AA138"/>
  <c r="AA140"/>
  <c r="AA121"/>
  <c r="AA122"/>
  <c r="AA123"/>
  <c r="AA124"/>
  <c r="AA126"/>
  <c r="AA127"/>
  <c r="AA128"/>
  <c r="AA129"/>
  <c r="AA131"/>
  <c r="AA116"/>
  <c r="AA115"/>
  <c r="AA114"/>
  <c r="AA110"/>
  <c r="AA113"/>
  <c r="AA112"/>
  <c r="AA109"/>
  <c r="AA41"/>
  <c r="AA36"/>
  <c r="AA120"/>
  <c r="AA163"/>
  <c r="Z155"/>
  <c r="G8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Y213" s="1"/>
  <c r="X213" s="1"/>
  <c r="W213" s="1"/>
  <c r="V213" s="1"/>
  <c r="U213" s="1"/>
  <c r="T213" s="1"/>
  <c r="S213" s="1"/>
  <c r="R213" s="1"/>
  <c r="Q213" s="1"/>
  <c r="P213" s="1"/>
  <c r="O213" s="1"/>
  <c r="N213" s="1"/>
  <c r="M213" s="1"/>
  <c r="L213" s="1"/>
  <c r="K213" s="1"/>
  <c r="J213" s="1"/>
  <c r="I213" s="1"/>
  <c r="H213" s="1"/>
  <c r="G213" s="1"/>
  <c r="F213" s="1"/>
  <c r="J7"/>
  <c r="Y39"/>
  <c r="X39" s="1"/>
  <c r="W39" s="1"/>
  <c r="V39" s="1"/>
  <c r="U39" s="1"/>
  <c r="T39" s="1"/>
  <c r="S39" s="1"/>
  <c r="R39" s="1"/>
  <c r="Q39" s="1"/>
  <c r="P39" s="1"/>
  <c r="O39" s="1"/>
  <c r="N39" s="1"/>
  <c r="M39" s="1"/>
  <c r="L39" s="1"/>
  <c r="K39" s="1"/>
  <c r="J39" s="1"/>
  <c r="I39" s="1"/>
  <c r="H39" s="1"/>
  <c r="G39" s="1"/>
  <c r="F39" s="1"/>
  <c r="N3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F110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D29" s="1"/>
  <c r="E29" s="1"/>
  <c r="Z172" l="1"/>
  <c r="Z219"/>
  <c r="Y144"/>
  <c r="X144" s="1"/>
  <c r="W144" s="1"/>
  <c r="V144" s="1"/>
  <c r="U144" s="1"/>
  <c r="T144" s="1"/>
  <c r="S144" s="1"/>
  <c r="R144" s="1"/>
  <c r="Q144" s="1"/>
  <c r="P144" s="1"/>
  <c r="O144" s="1"/>
  <c r="N144" s="1"/>
  <c r="M144" s="1"/>
  <c r="L144" s="1"/>
  <c r="K144" s="1"/>
  <c r="J144" s="1"/>
  <c r="I144" s="1"/>
  <c r="H144" s="1"/>
  <c r="G144" s="1"/>
  <c r="F144" s="1"/>
  <c r="Y191"/>
  <c r="X191" s="1"/>
  <c r="W191" s="1"/>
  <c r="V191" s="1"/>
  <c r="U191" s="1"/>
  <c r="T191" s="1"/>
  <c r="S191" s="1"/>
  <c r="R191" s="1"/>
  <c r="Q191" s="1"/>
  <c r="P191" s="1"/>
  <c r="O191" s="1"/>
  <c r="N191" s="1"/>
  <c r="M191" s="1"/>
  <c r="L191" s="1"/>
  <c r="K191" s="1"/>
  <c r="J191" s="1"/>
  <c r="I191" s="1"/>
  <c r="H191" s="1"/>
  <c r="G191" s="1"/>
  <c r="F191" s="1"/>
  <c r="Y119"/>
  <c r="X119" s="1"/>
  <c r="W119" s="1"/>
  <c r="V119" s="1"/>
  <c r="U119" s="1"/>
  <c r="T119" s="1"/>
  <c r="S119" s="1"/>
  <c r="R119" s="1"/>
  <c r="Q119" s="1"/>
  <c r="P119" s="1"/>
  <c r="O119" s="1"/>
  <c r="N119" s="1"/>
  <c r="M119" s="1"/>
  <c r="L119" s="1"/>
  <c r="K119" s="1"/>
  <c r="J119" s="1"/>
  <c r="I119" s="1"/>
  <c r="H119" s="1"/>
  <c r="G119" s="1"/>
  <c r="F119" s="1"/>
  <c r="Y166"/>
  <c r="X166" s="1"/>
  <c r="W166" s="1"/>
  <c r="V166" s="1"/>
  <c r="U166" s="1"/>
  <c r="T166" s="1"/>
  <c r="S166" s="1"/>
  <c r="R166" s="1"/>
  <c r="Q166" s="1"/>
  <c r="P166" s="1"/>
  <c r="O166" s="1"/>
  <c r="N166" s="1"/>
  <c r="M166" s="1"/>
  <c r="L166" s="1"/>
  <c r="K166" s="1"/>
  <c r="J166" s="1"/>
  <c r="I166" s="1"/>
  <c r="H166" s="1"/>
  <c r="G166" s="1"/>
  <c r="F166" s="1"/>
  <c r="F115"/>
  <c r="U29"/>
  <c r="W29"/>
  <c r="Y29"/>
  <c r="T29"/>
  <c r="V29"/>
  <c r="X29"/>
  <c r="C30"/>
  <c r="D10"/>
  <c r="E10" s="1"/>
  <c r="K10" s="1"/>
  <c r="D12"/>
  <c r="E12" s="1"/>
  <c r="D11"/>
  <c r="E11" s="1"/>
  <c r="F116" l="1"/>
  <c r="G115"/>
  <c r="N10"/>
  <c r="T12"/>
  <c r="V12"/>
  <c r="X12"/>
  <c r="R12"/>
  <c r="U12"/>
  <c r="W12"/>
  <c r="Y12"/>
  <c r="S12"/>
  <c r="T11"/>
  <c r="V11"/>
  <c r="X11"/>
  <c r="R11"/>
  <c r="U11"/>
  <c r="W11"/>
  <c r="Y11"/>
  <c r="S11"/>
  <c r="F10"/>
  <c r="T10"/>
  <c r="V10"/>
  <c r="X10"/>
  <c r="R10"/>
  <c r="U10"/>
  <c r="W10"/>
  <c r="Y10"/>
  <c r="S10"/>
  <c r="D30"/>
  <c r="E30" s="1"/>
  <c r="C31"/>
  <c r="Q12"/>
  <c r="H12"/>
  <c r="J12"/>
  <c r="L12"/>
  <c r="N12"/>
  <c r="F12"/>
  <c r="P12"/>
  <c r="G12"/>
  <c r="I12"/>
  <c r="K12"/>
  <c r="M12"/>
  <c r="O12"/>
  <c r="J10"/>
  <c r="G10"/>
  <c r="O10"/>
  <c r="H10"/>
  <c r="L10"/>
  <c r="P10"/>
  <c r="I10"/>
  <c r="M10"/>
  <c r="Q10"/>
  <c r="G11"/>
  <c r="I11"/>
  <c r="K11"/>
  <c r="M11"/>
  <c r="O11"/>
  <c r="Q11"/>
  <c r="H11"/>
  <c r="J11"/>
  <c r="L11"/>
  <c r="N11"/>
  <c r="P11"/>
  <c r="F11"/>
  <c r="D13"/>
  <c r="E13" s="1"/>
  <c r="H115" l="1"/>
  <c r="G116"/>
  <c r="V30"/>
  <c r="X30"/>
  <c r="U30"/>
  <c r="W30"/>
  <c r="Y30"/>
  <c r="T13"/>
  <c r="V13"/>
  <c r="X13"/>
  <c r="R13"/>
  <c r="U13"/>
  <c r="W13"/>
  <c r="Y13"/>
  <c r="S13"/>
  <c r="D31"/>
  <c r="E31" s="1"/>
  <c r="C32"/>
  <c r="Q13"/>
  <c r="G13"/>
  <c r="I13"/>
  <c r="K13"/>
  <c r="M13"/>
  <c r="O13"/>
  <c r="F13"/>
  <c r="P13"/>
  <c r="H13"/>
  <c r="J13"/>
  <c r="L13"/>
  <c r="N13"/>
  <c r="D14"/>
  <c r="E14" s="1"/>
  <c r="I115" l="1"/>
  <c r="H116"/>
  <c r="V31"/>
  <c r="X31"/>
  <c r="W31"/>
  <c r="Y31"/>
  <c r="T14"/>
  <c r="V14"/>
  <c r="X14"/>
  <c r="R14"/>
  <c r="U14"/>
  <c r="W14"/>
  <c r="Y14"/>
  <c r="S14"/>
  <c r="D32"/>
  <c r="E32" s="1"/>
  <c r="C33"/>
  <c r="Q14"/>
  <c r="H14"/>
  <c r="J14"/>
  <c r="L14"/>
  <c r="N14"/>
  <c r="P14"/>
  <c r="G14"/>
  <c r="I14"/>
  <c r="K14"/>
  <c r="M14"/>
  <c r="O14"/>
  <c r="F14"/>
  <c r="D15"/>
  <c r="E15" s="1"/>
  <c r="I116" l="1"/>
  <c r="J115"/>
  <c r="T15"/>
  <c r="V15"/>
  <c r="X15"/>
  <c r="R15"/>
  <c r="U15"/>
  <c r="W15"/>
  <c r="Y15"/>
  <c r="S15"/>
  <c r="W32"/>
  <c r="Y32"/>
  <c r="X32"/>
  <c r="D33"/>
  <c r="E33" s="1"/>
  <c r="C34"/>
  <c r="Q15"/>
  <c r="G15"/>
  <c r="I15"/>
  <c r="K15"/>
  <c r="M15"/>
  <c r="O15"/>
  <c r="F15"/>
  <c r="P15"/>
  <c r="H15"/>
  <c r="J15"/>
  <c r="L15"/>
  <c r="N15"/>
  <c r="D16"/>
  <c r="E16" s="1"/>
  <c r="F109" l="1"/>
  <c r="F111" s="1"/>
  <c r="F112"/>
  <c r="J116"/>
  <c r="K115"/>
  <c r="F38"/>
  <c r="T16"/>
  <c r="V16"/>
  <c r="X16"/>
  <c r="R16"/>
  <c r="U16"/>
  <c r="W16"/>
  <c r="Y16"/>
  <c r="S16"/>
  <c r="Y33"/>
  <c r="X33"/>
  <c r="D34"/>
  <c r="E34" s="1"/>
  <c r="Y34" s="1"/>
  <c r="Q16"/>
  <c r="H16"/>
  <c r="J16"/>
  <c r="L16"/>
  <c r="N16"/>
  <c r="P16"/>
  <c r="G16"/>
  <c r="G112" s="1"/>
  <c r="I16"/>
  <c r="K16"/>
  <c r="M16"/>
  <c r="O16"/>
  <c r="D17"/>
  <c r="E17" s="1"/>
  <c r="F214" l="1"/>
  <c r="F226"/>
  <c r="F179"/>
  <c r="F167"/>
  <c r="F131"/>
  <c r="F120"/>
  <c r="F113"/>
  <c r="G109"/>
  <c r="G111" s="1"/>
  <c r="L115"/>
  <c r="K116"/>
  <c r="G38"/>
  <c r="G113"/>
  <c r="G114" s="1"/>
  <c r="T17"/>
  <c r="V17"/>
  <c r="X17"/>
  <c r="U17"/>
  <c r="W17"/>
  <c r="Y17"/>
  <c r="S17"/>
  <c r="R17"/>
  <c r="Q17"/>
  <c r="H17"/>
  <c r="H112" s="1"/>
  <c r="J17"/>
  <c r="L17"/>
  <c r="N17"/>
  <c r="P17"/>
  <c r="I17"/>
  <c r="K17"/>
  <c r="M17"/>
  <c r="O17"/>
  <c r="D18"/>
  <c r="E18" s="1"/>
  <c r="G226" l="1"/>
  <c r="G227" s="1"/>
  <c r="G228" s="1"/>
  <c r="G229" s="1"/>
  <c r="G214"/>
  <c r="G131"/>
  <c r="G120"/>
  <c r="G179"/>
  <c r="G180" s="1"/>
  <c r="G181" s="1"/>
  <c r="G167"/>
  <c r="G132"/>
  <c r="G133" s="1"/>
  <c r="F121"/>
  <c r="F114"/>
  <c r="F132" s="1"/>
  <c r="F133" s="1"/>
  <c r="F134" s="1"/>
  <c r="G121"/>
  <c r="H109"/>
  <c r="M115"/>
  <c r="L116"/>
  <c r="T18"/>
  <c r="V18"/>
  <c r="X18"/>
  <c r="R18"/>
  <c r="U18"/>
  <c r="W18"/>
  <c r="Y18"/>
  <c r="S18"/>
  <c r="H38"/>
  <c r="Q18"/>
  <c r="I18"/>
  <c r="I112" s="1"/>
  <c r="K18"/>
  <c r="M18"/>
  <c r="O18"/>
  <c r="P18"/>
  <c r="J18"/>
  <c r="L18"/>
  <c r="N18"/>
  <c r="D19"/>
  <c r="E19" s="1"/>
  <c r="H113" l="1"/>
  <c r="H114" s="1"/>
  <c r="H111"/>
  <c r="F227"/>
  <c r="F228" s="1"/>
  <c r="F229" s="1"/>
  <c r="H214"/>
  <c r="H226"/>
  <c r="H227" s="1"/>
  <c r="H228" s="1"/>
  <c r="H229" s="1"/>
  <c r="H179"/>
  <c r="H167"/>
  <c r="H131"/>
  <c r="H120"/>
  <c r="F180"/>
  <c r="F181" s="1"/>
  <c r="G134"/>
  <c r="F122"/>
  <c r="F141" s="1"/>
  <c r="H121"/>
  <c r="I109"/>
  <c r="I111" s="1"/>
  <c r="N115"/>
  <c r="M116"/>
  <c r="G122"/>
  <c r="G141" s="1"/>
  <c r="I113"/>
  <c r="I114" s="1"/>
  <c r="T19"/>
  <c r="V19"/>
  <c r="X19"/>
  <c r="U19"/>
  <c r="W19"/>
  <c r="Y19"/>
  <c r="S19"/>
  <c r="R19"/>
  <c r="I38"/>
  <c r="Q19"/>
  <c r="K19"/>
  <c r="M19"/>
  <c r="O19"/>
  <c r="P19"/>
  <c r="J19"/>
  <c r="J112" s="1"/>
  <c r="L19"/>
  <c r="N19"/>
  <c r="D20"/>
  <c r="E20" s="1"/>
  <c r="H132" l="1"/>
  <c r="H133" s="1"/>
  <c r="H180"/>
  <c r="H181" s="1"/>
  <c r="I226"/>
  <c r="I227" s="1"/>
  <c r="I228" s="1"/>
  <c r="I229" s="1"/>
  <c r="I214"/>
  <c r="I131"/>
  <c r="I132" s="1"/>
  <c r="I133" s="1"/>
  <c r="I120"/>
  <c r="I121" s="1"/>
  <c r="I179"/>
  <c r="I180" s="1"/>
  <c r="I181" s="1"/>
  <c r="I167"/>
  <c r="H134"/>
  <c r="J109"/>
  <c r="J111" s="1"/>
  <c r="N116"/>
  <c r="O115"/>
  <c r="H122"/>
  <c r="H141" s="1"/>
  <c r="J113"/>
  <c r="J114" s="1"/>
  <c r="T20"/>
  <c r="V20"/>
  <c r="X20"/>
  <c r="U20"/>
  <c r="W20"/>
  <c r="Y20"/>
  <c r="S20"/>
  <c r="R20"/>
  <c r="J38"/>
  <c r="Q20"/>
  <c r="L20"/>
  <c r="N20"/>
  <c r="P20"/>
  <c r="K20"/>
  <c r="K112" s="1"/>
  <c r="M20"/>
  <c r="O20"/>
  <c r="D21"/>
  <c r="E21" s="1"/>
  <c r="J214" l="1"/>
  <c r="J226"/>
  <c r="J227" s="1"/>
  <c r="J228" s="1"/>
  <c r="J229" s="1"/>
  <c r="J179"/>
  <c r="J180" s="1"/>
  <c r="J181" s="1"/>
  <c r="J167"/>
  <c r="J131"/>
  <c r="J132" s="1"/>
  <c r="J133" s="1"/>
  <c r="J120"/>
  <c r="J121" s="1"/>
  <c r="I134"/>
  <c r="K109"/>
  <c r="K111" s="1"/>
  <c r="O116"/>
  <c r="P115"/>
  <c r="I122"/>
  <c r="I141" s="1"/>
  <c r="K38"/>
  <c r="T21"/>
  <c r="V21"/>
  <c r="X21"/>
  <c r="U21"/>
  <c r="W21"/>
  <c r="Y21"/>
  <c r="S21"/>
  <c r="R21"/>
  <c r="Q21"/>
  <c r="L21"/>
  <c r="L112" s="1"/>
  <c r="N21"/>
  <c r="P21"/>
  <c r="M21"/>
  <c r="O21"/>
  <c r="D22"/>
  <c r="E22" s="1"/>
  <c r="K226" l="1"/>
  <c r="K214"/>
  <c r="K131"/>
  <c r="K120"/>
  <c r="K179"/>
  <c r="K167"/>
  <c r="J134"/>
  <c r="K113"/>
  <c r="K114" s="1"/>
  <c r="L109"/>
  <c r="L111" s="1"/>
  <c r="Q115"/>
  <c r="P116"/>
  <c r="L38"/>
  <c r="T22"/>
  <c r="V22"/>
  <c r="X22"/>
  <c r="R22"/>
  <c r="U22"/>
  <c r="W22"/>
  <c r="Y22"/>
  <c r="S22"/>
  <c r="Q22"/>
  <c r="M22"/>
  <c r="M112" s="1"/>
  <c r="O22"/>
  <c r="P22"/>
  <c r="N22"/>
  <c r="D23"/>
  <c r="E23" s="1"/>
  <c r="K227" l="1"/>
  <c r="K228" s="1"/>
  <c r="K229" s="1"/>
  <c r="L214"/>
  <c r="L226"/>
  <c r="K180"/>
  <c r="K181" s="1"/>
  <c r="L179"/>
  <c r="L167"/>
  <c r="L131"/>
  <c r="L120"/>
  <c r="K132"/>
  <c r="K133" s="1"/>
  <c r="J122"/>
  <c r="J141" s="1"/>
  <c r="K121"/>
  <c r="L113"/>
  <c r="L114" s="1"/>
  <c r="M109"/>
  <c r="M111" s="1"/>
  <c r="R115"/>
  <c r="Q116"/>
  <c r="M38"/>
  <c r="T23"/>
  <c r="V23"/>
  <c r="X23"/>
  <c r="U23"/>
  <c r="W23"/>
  <c r="Y23"/>
  <c r="S23"/>
  <c r="R23"/>
  <c r="Q23"/>
  <c r="O23"/>
  <c r="P23"/>
  <c r="N23"/>
  <c r="N112" s="1"/>
  <c r="D24"/>
  <c r="E24" s="1"/>
  <c r="L227" l="1"/>
  <c r="L228" s="1"/>
  <c r="L229" s="1"/>
  <c r="M226"/>
  <c r="M214"/>
  <c r="M131"/>
  <c r="M120"/>
  <c r="M179"/>
  <c r="M167"/>
  <c r="L180"/>
  <c r="L181" s="1"/>
  <c r="K134"/>
  <c r="L132"/>
  <c r="L133" s="1"/>
  <c r="L121"/>
  <c r="K122"/>
  <c r="K141" s="1"/>
  <c r="M113"/>
  <c r="M114" s="1"/>
  <c r="N109"/>
  <c r="N111" s="1"/>
  <c r="S115"/>
  <c r="R116"/>
  <c r="N38"/>
  <c r="T24"/>
  <c r="V24"/>
  <c r="X24"/>
  <c r="U24"/>
  <c r="W24"/>
  <c r="Y24"/>
  <c r="S24"/>
  <c r="R24"/>
  <c r="Q24"/>
  <c r="P24"/>
  <c r="O24"/>
  <c r="O112" s="1"/>
  <c r="D25"/>
  <c r="E25" s="1"/>
  <c r="M227" l="1"/>
  <c r="M228" s="1"/>
  <c r="M229" s="1"/>
  <c r="N214"/>
  <c r="N226"/>
  <c r="M180"/>
  <c r="M181" s="1"/>
  <c r="N179"/>
  <c r="N167"/>
  <c r="N131"/>
  <c r="N120"/>
  <c r="L134"/>
  <c r="M132"/>
  <c r="M133" s="1"/>
  <c r="M121"/>
  <c r="L122"/>
  <c r="L141" s="1"/>
  <c r="N113"/>
  <c r="N114" s="1"/>
  <c r="O109"/>
  <c r="O111" s="1"/>
  <c r="S116"/>
  <c r="T115"/>
  <c r="O38"/>
  <c r="T25"/>
  <c r="V25"/>
  <c r="X25"/>
  <c r="U25"/>
  <c r="W25"/>
  <c r="Y25"/>
  <c r="S25"/>
  <c r="R25"/>
  <c r="Q25"/>
  <c r="P25"/>
  <c r="P112" s="1"/>
  <c r="D26"/>
  <c r="E26" s="1"/>
  <c r="N227" l="1"/>
  <c r="N228" s="1"/>
  <c r="N229" s="1"/>
  <c r="O214"/>
  <c r="O226"/>
  <c r="O131"/>
  <c r="O120"/>
  <c r="O179"/>
  <c r="O167"/>
  <c r="N180"/>
  <c r="N181" s="1"/>
  <c r="M134"/>
  <c r="N132"/>
  <c r="N133" s="1"/>
  <c r="N121"/>
  <c r="M122"/>
  <c r="M141" s="1"/>
  <c r="O113"/>
  <c r="O114" s="1"/>
  <c r="P109"/>
  <c r="P111" s="1"/>
  <c r="U115"/>
  <c r="T116"/>
  <c r="P38"/>
  <c r="Q26"/>
  <c r="Q112" s="1"/>
  <c r="T26"/>
  <c r="V26"/>
  <c r="X26"/>
  <c r="R26"/>
  <c r="U26"/>
  <c r="W26"/>
  <c r="Y26"/>
  <c r="S26"/>
  <c r="D28"/>
  <c r="E28" s="1"/>
  <c r="D27"/>
  <c r="E27" s="1"/>
  <c r="O227" l="1"/>
  <c r="O228" s="1"/>
  <c r="O229" s="1"/>
  <c r="P226"/>
  <c r="P214"/>
  <c r="P179"/>
  <c r="P167"/>
  <c r="P131"/>
  <c r="P120"/>
  <c r="O180"/>
  <c r="O181" s="1"/>
  <c r="N134"/>
  <c r="O132"/>
  <c r="O133" s="1"/>
  <c r="O121"/>
  <c r="N122"/>
  <c r="N141" s="1"/>
  <c r="P113"/>
  <c r="P114" s="1"/>
  <c r="Q109"/>
  <c r="Q111" s="1"/>
  <c r="U116"/>
  <c r="V115"/>
  <c r="Q38"/>
  <c r="T27"/>
  <c r="V27"/>
  <c r="X27"/>
  <c r="U27"/>
  <c r="W27"/>
  <c r="Y27"/>
  <c r="S27"/>
  <c r="R27"/>
  <c r="R112" s="1"/>
  <c r="T28"/>
  <c r="T112" s="1"/>
  <c r="V28"/>
  <c r="V112" s="1"/>
  <c r="X28"/>
  <c r="X112" s="1"/>
  <c r="U28"/>
  <c r="U112" s="1"/>
  <c r="W28"/>
  <c r="W112" s="1"/>
  <c r="Y28"/>
  <c r="Y36" s="1"/>
  <c r="Y112" s="1"/>
  <c r="S28"/>
  <c r="S112" s="1"/>
  <c r="P227" l="1"/>
  <c r="P228" s="1"/>
  <c r="P229" s="1"/>
  <c r="Q214"/>
  <c r="Q226"/>
  <c r="P180"/>
  <c r="P181" s="1"/>
  <c r="Q131"/>
  <c r="Q120"/>
  <c r="Q179"/>
  <c r="Q167"/>
  <c r="O134"/>
  <c r="P132"/>
  <c r="P133" s="1"/>
  <c r="P121"/>
  <c r="O122"/>
  <c r="O141" s="1"/>
  <c r="Q113"/>
  <c r="Q114" s="1"/>
  <c r="W115"/>
  <c r="V116"/>
  <c r="S38"/>
  <c r="U38"/>
  <c r="V38"/>
  <c r="R38"/>
  <c r="W38"/>
  <c r="X38"/>
  <c r="T38"/>
  <c r="Y38"/>
  <c r="Q227" l="1"/>
  <c r="Q228" s="1"/>
  <c r="Q229" s="1"/>
  <c r="W226"/>
  <c r="W214"/>
  <c r="V214"/>
  <c r="V226"/>
  <c r="Y214"/>
  <c r="Y226"/>
  <c r="X226"/>
  <c r="X214"/>
  <c r="R226"/>
  <c r="R214"/>
  <c r="U214"/>
  <c r="U226"/>
  <c r="T226"/>
  <c r="T214"/>
  <c r="S214"/>
  <c r="S226"/>
  <c r="Y131"/>
  <c r="Y120"/>
  <c r="Y179"/>
  <c r="Y167"/>
  <c r="X179"/>
  <c r="X167"/>
  <c r="X131"/>
  <c r="X120"/>
  <c r="R179"/>
  <c r="R167"/>
  <c r="R131"/>
  <c r="R120"/>
  <c r="U131"/>
  <c r="U120"/>
  <c r="U179"/>
  <c r="U167"/>
  <c r="T179"/>
  <c r="T167"/>
  <c r="T131"/>
  <c r="T120"/>
  <c r="W131"/>
  <c r="W120"/>
  <c r="W179"/>
  <c r="W167"/>
  <c r="V179"/>
  <c r="V167"/>
  <c r="V131"/>
  <c r="V120"/>
  <c r="S131"/>
  <c r="S120"/>
  <c r="S179"/>
  <c r="S167"/>
  <c r="Q180"/>
  <c r="Q181" s="1"/>
  <c r="P134"/>
  <c r="Q132"/>
  <c r="Q133" s="1"/>
  <c r="R109"/>
  <c r="Q121"/>
  <c r="P122"/>
  <c r="P141" s="1"/>
  <c r="W116"/>
  <c r="X115"/>
  <c r="R113" l="1"/>
  <c r="R114" s="1"/>
  <c r="R180" s="1"/>
  <c r="R181" s="1"/>
  <c r="R111"/>
  <c r="R227"/>
  <c r="R228" s="1"/>
  <c r="R229" s="1"/>
  <c r="Q134"/>
  <c r="S109"/>
  <c r="R121"/>
  <c r="Q122"/>
  <c r="F123"/>
  <c r="F124" s="1"/>
  <c r="G123"/>
  <c r="G124" s="1"/>
  <c r="H123"/>
  <c r="H124" s="1"/>
  <c r="I123"/>
  <c r="I124" s="1"/>
  <c r="J123"/>
  <c r="J124" s="1"/>
  <c r="K123"/>
  <c r="K124" s="1"/>
  <c r="L123"/>
  <c r="L124" s="1"/>
  <c r="M123"/>
  <c r="M124" s="1"/>
  <c r="N123"/>
  <c r="N124" s="1"/>
  <c r="O123"/>
  <c r="O124" s="1"/>
  <c r="Y115"/>
  <c r="Y116" s="1"/>
  <c r="X116"/>
  <c r="Q123" l="1"/>
  <c r="Q124" s="1"/>
  <c r="Q141"/>
  <c r="R132"/>
  <c r="R133" s="1"/>
  <c r="S113"/>
  <c r="S114" s="1"/>
  <c r="S132" s="1"/>
  <c r="S133" s="1"/>
  <c r="S134" s="1"/>
  <c r="S111"/>
  <c r="S227"/>
  <c r="S228" s="1"/>
  <c r="S229" s="1"/>
  <c r="R134"/>
  <c r="T109"/>
  <c r="S121"/>
  <c r="R122"/>
  <c r="R123" l="1"/>
  <c r="R124" s="1"/>
  <c r="R141"/>
  <c r="T113"/>
  <c r="T114" s="1"/>
  <c r="T227" s="1"/>
  <c r="T228" s="1"/>
  <c r="T229" s="1"/>
  <c r="T111"/>
  <c r="S180"/>
  <c r="S181" s="1"/>
  <c r="U109"/>
  <c r="S122"/>
  <c r="T121"/>
  <c r="S123" l="1"/>
  <c r="S124" s="1"/>
  <c r="S141"/>
  <c r="T180"/>
  <c r="T181" s="1"/>
  <c r="U113"/>
  <c r="U114" s="1"/>
  <c r="U227" s="1"/>
  <c r="U228" s="1"/>
  <c r="U229" s="1"/>
  <c r="U111"/>
  <c r="T132"/>
  <c r="T133" s="1"/>
  <c r="T134" s="1"/>
  <c r="V109"/>
  <c r="T122"/>
  <c r="T123" l="1"/>
  <c r="T124" s="1"/>
  <c r="T141"/>
  <c r="U121"/>
  <c r="U180"/>
  <c r="U181" s="1"/>
  <c r="V113"/>
  <c r="V114" s="1"/>
  <c r="V227" s="1"/>
  <c r="V228" s="1"/>
  <c r="V229" s="1"/>
  <c r="V111"/>
  <c r="U132"/>
  <c r="U133" s="1"/>
  <c r="U134" s="1"/>
  <c r="W109"/>
  <c r="U122"/>
  <c r="U123" l="1"/>
  <c r="U124" s="1"/>
  <c r="U141"/>
  <c r="V121"/>
  <c r="V180"/>
  <c r="V181" s="1"/>
  <c r="W113"/>
  <c r="W114" s="1"/>
  <c r="W227" s="1"/>
  <c r="W228" s="1"/>
  <c r="W229" s="1"/>
  <c r="W111"/>
  <c r="V132"/>
  <c r="V133" s="1"/>
  <c r="V134" s="1"/>
  <c r="Y37"/>
  <c r="X109"/>
  <c r="V122"/>
  <c r="V123" l="1"/>
  <c r="V124" s="1"/>
  <c r="V141"/>
  <c r="W121"/>
  <c r="W180"/>
  <c r="W181" s="1"/>
  <c r="X113"/>
  <c r="X114" s="1"/>
  <c r="X227" s="1"/>
  <c r="X228" s="1"/>
  <c r="X229" s="1"/>
  <c r="X111"/>
  <c r="W132"/>
  <c r="W133" s="1"/>
  <c r="W134" s="1"/>
  <c r="Y109"/>
  <c r="AE241"/>
  <c r="AG241" s="1"/>
  <c r="AG243" s="1"/>
  <c r="AG244" s="1"/>
  <c r="P123"/>
  <c r="P124" s="1"/>
  <c r="X121"/>
  <c r="X122" s="1"/>
  <c r="W122"/>
  <c r="X123" l="1"/>
  <c r="X124" s="1"/>
  <c r="W123"/>
  <c r="W124" s="1"/>
  <c r="W141"/>
  <c r="X180"/>
  <c r="X181" s="1"/>
  <c r="X132"/>
  <c r="X133" s="1"/>
  <c r="X134" s="1"/>
  <c r="Y113"/>
  <c r="Y114" s="1"/>
  <c r="Y227" s="1"/>
  <c r="Y228" s="1"/>
  <c r="Y229" s="1"/>
  <c r="Y230" s="1"/>
  <c r="X230" s="1"/>
  <c r="Y111"/>
  <c r="X141" l="1"/>
  <c r="Y121"/>
  <c r="Y122" s="1"/>
  <c r="Y180"/>
  <c r="Y231"/>
  <c r="Y232" s="1"/>
  <c r="Y132"/>
  <c r="Y133" s="1"/>
  <c r="Y134" s="1"/>
  <c r="Y135" s="1"/>
  <c r="X231"/>
  <c r="W230"/>
  <c r="X232"/>
  <c r="X233" s="1"/>
  <c r="G241" s="1"/>
  <c r="Y136" l="1"/>
  <c r="Y137" s="1"/>
  <c r="Y123"/>
  <c r="Y124" s="1"/>
  <c r="Y125" s="1"/>
  <c r="Y141"/>
  <c r="AD141" s="1"/>
  <c r="AD142" s="1"/>
  <c r="X135"/>
  <c r="W231"/>
  <c r="W232" s="1"/>
  <c r="W233" s="1"/>
  <c r="H241" s="1"/>
  <c r="V230"/>
  <c r="Y138"/>
  <c r="W135" l="1"/>
  <c r="Y126"/>
  <c r="X125"/>
  <c r="X136"/>
  <c r="X137" s="1"/>
  <c r="V135"/>
  <c r="V231"/>
  <c r="V232" s="1"/>
  <c r="V233" s="1"/>
  <c r="I241" s="1"/>
  <c r="U230"/>
  <c r="X138"/>
  <c r="Y127" l="1"/>
  <c r="Y128" s="1"/>
  <c r="Y145" s="1"/>
  <c r="Y192" s="1"/>
  <c r="Y140"/>
  <c r="W136"/>
  <c r="W137" s="1"/>
  <c r="V136"/>
  <c r="W125"/>
  <c r="X126"/>
  <c r="U135"/>
  <c r="Y147"/>
  <c r="Y129"/>
  <c r="T230"/>
  <c r="U231"/>
  <c r="U232" s="1"/>
  <c r="Y146"/>
  <c r="Y154"/>
  <c r="Y152"/>
  <c r="Y153"/>
  <c r="Y148"/>
  <c r="Y201"/>
  <c r="Y194"/>
  <c r="Y195"/>
  <c r="Y193"/>
  <c r="Y200"/>
  <c r="Y199"/>
  <c r="W138"/>
  <c r="V137"/>
  <c r="V138" s="1"/>
  <c r="W126" l="1"/>
  <c r="W140" s="1"/>
  <c r="V125"/>
  <c r="X127"/>
  <c r="X128" s="1"/>
  <c r="X140"/>
  <c r="W127"/>
  <c r="U136"/>
  <c r="T135"/>
  <c r="T136" s="1"/>
  <c r="Y149"/>
  <c r="Y150" s="1"/>
  <c r="Y155"/>
  <c r="Y159" s="1"/>
  <c r="Y162" s="1"/>
  <c r="U233"/>
  <c r="J241" s="1"/>
  <c r="S230"/>
  <c r="T231"/>
  <c r="T232" s="1"/>
  <c r="Y202"/>
  <c r="Y196"/>
  <c r="Y197" s="1"/>
  <c r="Y156"/>
  <c r="U137"/>
  <c r="U138" s="1"/>
  <c r="S135" l="1"/>
  <c r="X145"/>
  <c r="W128"/>
  <c r="X129"/>
  <c r="U125"/>
  <c r="V126"/>
  <c r="Y157"/>
  <c r="S231"/>
  <c r="S232" s="1"/>
  <c r="T233"/>
  <c r="K241" s="1"/>
  <c r="R230"/>
  <c r="Y206"/>
  <c r="Y204"/>
  <c r="Y203"/>
  <c r="X182"/>
  <c r="Y168"/>
  <c r="Y169" s="1"/>
  <c r="Y160"/>
  <c r="T137"/>
  <c r="T138" s="1"/>
  <c r="Y170" l="1"/>
  <c r="Y171" s="1"/>
  <c r="Y172" s="1"/>
  <c r="Y189"/>
  <c r="V127"/>
  <c r="V140"/>
  <c r="X146"/>
  <c r="X153"/>
  <c r="X147"/>
  <c r="X192"/>
  <c r="X152"/>
  <c r="X148"/>
  <c r="X154"/>
  <c r="R135"/>
  <c r="S136"/>
  <c r="T125"/>
  <c r="U126"/>
  <c r="W145"/>
  <c r="V128"/>
  <c r="W129"/>
  <c r="R231"/>
  <c r="R232" s="1"/>
  <c r="Q230"/>
  <c r="S233"/>
  <c r="L241" s="1"/>
  <c r="Y207"/>
  <c r="Y208" s="1"/>
  <c r="Y161"/>
  <c r="Y181"/>
  <c r="Y182" s="1"/>
  <c r="Y183" s="1"/>
  <c r="Y173"/>
  <c r="Y174" s="1"/>
  <c r="Y175" s="1"/>
  <c r="Y163"/>
  <c r="S137"/>
  <c r="V145" l="1"/>
  <c r="V129"/>
  <c r="U140"/>
  <c r="X193"/>
  <c r="X194"/>
  <c r="X195"/>
  <c r="X199"/>
  <c r="X200"/>
  <c r="X201"/>
  <c r="U127"/>
  <c r="U128" s="1"/>
  <c r="W192"/>
  <c r="W148"/>
  <c r="W152"/>
  <c r="W147"/>
  <c r="W154"/>
  <c r="W146"/>
  <c r="W149" s="1"/>
  <c r="W153"/>
  <c r="T126"/>
  <c r="T140" s="1"/>
  <c r="S125"/>
  <c r="Q135"/>
  <c r="R136"/>
  <c r="X155"/>
  <c r="X149"/>
  <c r="R233"/>
  <c r="M241" s="1"/>
  <c r="P230"/>
  <c r="Q231"/>
  <c r="Q232" s="1"/>
  <c r="Y176"/>
  <c r="X183"/>
  <c r="X184" s="1"/>
  <c r="Y184"/>
  <c r="Y185" s="1"/>
  <c r="Y186" s="1"/>
  <c r="Y188" s="1"/>
  <c r="Y209" s="1"/>
  <c r="Y215" s="1"/>
  <c r="W182"/>
  <c r="S138"/>
  <c r="R137"/>
  <c r="U145" l="1"/>
  <c r="U129"/>
  <c r="X157"/>
  <c r="X159"/>
  <c r="X156"/>
  <c r="Q136"/>
  <c r="P135"/>
  <c r="S126"/>
  <c r="R125"/>
  <c r="W193"/>
  <c r="W195"/>
  <c r="W199"/>
  <c r="W200"/>
  <c r="W201"/>
  <c r="W194"/>
  <c r="W196" s="1"/>
  <c r="V192"/>
  <c r="V146"/>
  <c r="V154"/>
  <c r="V153"/>
  <c r="V147"/>
  <c r="V148"/>
  <c r="V152"/>
  <c r="W155"/>
  <c r="W156" s="1"/>
  <c r="X202"/>
  <c r="T127"/>
  <c r="T128" s="1"/>
  <c r="X150"/>
  <c r="W150"/>
  <c r="X196"/>
  <c r="Q233"/>
  <c r="N241" s="1"/>
  <c r="O230"/>
  <c r="P231"/>
  <c r="P232" s="1"/>
  <c r="Y210"/>
  <c r="Y216"/>
  <c r="U182"/>
  <c r="V182"/>
  <c r="W183"/>
  <c r="W184" s="1"/>
  <c r="X185"/>
  <c r="X186" s="1"/>
  <c r="R138"/>
  <c r="Q137"/>
  <c r="T145" l="1"/>
  <c r="T129"/>
  <c r="X204"/>
  <c r="X203"/>
  <c r="X206"/>
  <c r="X207" s="1"/>
  <c r="X208" s="1"/>
  <c r="V199"/>
  <c r="V200"/>
  <c r="V201"/>
  <c r="V193"/>
  <c r="V194"/>
  <c r="V195"/>
  <c r="S127"/>
  <c r="S128" s="1"/>
  <c r="S140"/>
  <c r="U192"/>
  <c r="U147"/>
  <c r="U148"/>
  <c r="U153"/>
  <c r="U152"/>
  <c r="U146"/>
  <c r="U149" s="1"/>
  <c r="U154" s="1"/>
  <c r="U155" s="1"/>
  <c r="V155"/>
  <c r="W202"/>
  <c r="W197"/>
  <c r="X197"/>
  <c r="W157"/>
  <c r="W159"/>
  <c r="V156"/>
  <c r="R126"/>
  <c r="Q125"/>
  <c r="P136"/>
  <c r="O135"/>
  <c r="X162"/>
  <c r="X160"/>
  <c r="X161" s="1"/>
  <c r="V149"/>
  <c r="Y217"/>
  <c r="Y218" s="1"/>
  <c r="Y219" s="1"/>
  <c r="Y220" s="1"/>
  <c r="Y235" s="1"/>
  <c r="Y236"/>
  <c r="P233"/>
  <c r="O241" s="1"/>
  <c r="N230"/>
  <c r="O231"/>
  <c r="O232" s="1"/>
  <c r="W185"/>
  <c r="W186" s="1"/>
  <c r="V183"/>
  <c r="P137"/>
  <c r="Q138"/>
  <c r="S145" l="1"/>
  <c r="S129"/>
  <c r="N135"/>
  <c r="O136"/>
  <c r="R127"/>
  <c r="R128" s="1"/>
  <c r="R140"/>
  <c r="W162"/>
  <c r="W160"/>
  <c r="W161" s="1"/>
  <c r="W204"/>
  <c r="W206"/>
  <c r="W207" s="1"/>
  <c r="W208" s="1"/>
  <c r="U157"/>
  <c r="U159"/>
  <c r="T192"/>
  <c r="T146"/>
  <c r="T148"/>
  <c r="T153"/>
  <c r="T152"/>
  <c r="T147"/>
  <c r="V196"/>
  <c r="V150"/>
  <c r="U150"/>
  <c r="W163"/>
  <c r="X163"/>
  <c r="X168"/>
  <c r="X169" s="1"/>
  <c r="P125"/>
  <c r="Q126"/>
  <c r="Q140" s="1"/>
  <c r="V159"/>
  <c r="V157"/>
  <c r="U156"/>
  <c r="U193"/>
  <c r="U195"/>
  <c r="U199"/>
  <c r="U194"/>
  <c r="U200"/>
  <c r="V202"/>
  <c r="W203"/>
  <c r="O233"/>
  <c r="P241" s="1"/>
  <c r="M230"/>
  <c r="N231"/>
  <c r="N232" s="1"/>
  <c r="Y221"/>
  <c r="Y222" s="1"/>
  <c r="T182"/>
  <c r="V184"/>
  <c r="V185" s="1"/>
  <c r="U183"/>
  <c r="T183" s="1"/>
  <c r="O137"/>
  <c r="P138"/>
  <c r="R145" l="1"/>
  <c r="R129"/>
  <c r="X170"/>
  <c r="X171" s="1"/>
  <c r="X172" s="1"/>
  <c r="X189"/>
  <c r="T193"/>
  <c r="T194"/>
  <c r="T200"/>
  <c r="T195"/>
  <c r="T199"/>
  <c r="M135"/>
  <c r="N136"/>
  <c r="S152"/>
  <c r="S147"/>
  <c r="S148"/>
  <c r="S192"/>
  <c r="S146"/>
  <c r="S153"/>
  <c r="U196"/>
  <c r="U201" s="1"/>
  <c r="U202" s="1"/>
  <c r="Q127"/>
  <c r="Q128" s="1"/>
  <c r="V204"/>
  <c r="V206"/>
  <c r="V207" s="1"/>
  <c r="V208" s="1"/>
  <c r="V162"/>
  <c r="V163" s="1"/>
  <c r="V160"/>
  <c r="V161" s="1"/>
  <c r="P126"/>
  <c r="O125"/>
  <c r="V197"/>
  <c r="U197"/>
  <c r="U162"/>
  <c r="U160"/>
  <c r="U161" s="1"/>
  <c r="W168"/>
  <c r="W169" s="1"/>
  <c r="T149"/>
  <c r="V203"/>
  <c r="N233"/>
  <c r="Q241" s="1"/>
  <c r="L230"/>
  <c r="M231"/>
  <c r="M232" s="1"/>
  <c r="Y223"/>
  <c r="F242" s="1"/>
  <c r="T184"/>
  <c r="V186"/>
  <c r="S182"/>
  <c r="S183" s="1"/>
  <c r="U184"/>
  <c r="U185" s="1"/>
  <c r="N137"/>
  <c r="O138"/>
  <c r="Q145" l="1"/>
  <c r="Q129"/>
  <c r="T150"/>
  <c r="T154"/>
  <c r="T155" s="1"/>
  <c r="W170"/>
  <c r="W171" s="1"/>
  <c r="W189"/>
  <c r="U168"/>
  <c r="U169" s="1"/>
  <c r="P127"/>
  <c r="P128" s="1"/>
  <c r="P140"/>
  <c r="V168"/>
  <c r="V169" s="1"/>
  <c r="U163"/>
  <c r="U203"/>
  <c r="U204"/>
  <c r="U206"/>
  <c r="U207" s="1"/>
  <c r="U208" s="1"/>
  <c r="L135"/>
  <c r="M136"/>
  <c r="R192"/>
  <c r="R152"/>
  <c r="R148"/>
  <c r="R146"/>
  <c r="R153"/>
  <c r="R147"/>
  <c r="S149"/>
  <c r="O126"/>
  <c r="N125"/>
  <c r="S193"/>
  <c r="S199"/>
  <c r="S195"/>
  <c r="S200"/>
  <c r="S194"/>
  <c r="W172"/>
  <c r="X173"/>
  <c r="T196"/>
  <c r="M233"/>
  <c r="R241" s="1"/>
  <c r="K230"/>
  <c r="L231"/>
  <c r="L232" s="1"/>
  <c r="S184"/>
  <c r="T185"/>
  <c r="U186"/>
  <c r="Q182"/>
  <c r="N138"/>
  <c r="M137"/>
  <c r="T197" l="1"/>
  <c r="T201"/>
  <c r="T202" s="1"/>
  <c r="T203" s="1"/>
  <c r="P145"/>
  <c r="P129"/>
  <c r="X174"/>
  <c r="X175" s="1"/>
  <c r="X176" s="1"/>
  <c r="X188"/>
  <c r="X209" s="1"/>
  <c r="O127"/>
  <c r="O128" s="1"/>
  <c r="O140"/>
  <c r="S150"/>
  <c r="S154"/>
  <c r="S155" s="1"/>
  <c r="R193"/>
  <c r="R195"/>
  <c r="R199"/>
  <c r="R200"/>
  <c r="R194"/>
  <c r="L136"/>
  <c r="K135"/>
  <c r="U170"/>
  <c r="U171" s="1"/>
  <c r="U189"/>
  <c r="T159"/>
  <c r="T156"/>
  <c r="T157"/>
  <c r="Q192"/>
  <c r="Q148"/>
  <c r="Q153"/>
  <c r="Q152"/>
  <c r="Q147"/>
  <c r="Q146"/>
  <c r="Q149" s="1"/>
  <c r="Q154" s="1"/>
  <c r="Q155" s="1"/>
  <c r="S196"/>
  <c r="W173"/>
  <c r="M125"/>
  <c r="N126"/>
  <c r="T206"/>
  <c r="T207" s="1"/>
  <c r="T208" s="1"/>
  <c r="T204"/>
  <c r="V170"/>
  <c r="V171" s="1"/>
  <c r="V172" s="1"/>
  <c r="V189"/>
  <c r="R149"/>
  <c r="K231"/>
  <c r="K232" s="1"/>
  <c r="L233"/>
  <c r="S241" s="1"/>
  <c r="J230"/>
  <c r="R182"/>
  <c r="R183" s="1"/>
  <c r="S185"/>
  <c r="T186"/>
  <c r="L137"/>
  <c r="M138"/>
  <c r="V173" l="1"/>
  <c r="U172"/>
  <c r="O145"/>
  <c r="O129"/>
  <c r="R154"/>
  <c r="R155" s="1"/>
  <c r="Q150"/>
  <c r="M126"/>
  <c r="L125"/>
  <c r="Q159"/>
  <c r="Q157"/>
  <c r="T160"/>
  <c r="T161" s="1"/>
  <c r="T162"/>
  <c r="S157"/>
  <c r="S159"/>
  <c r="R156"/>
  <c r="S156"/>
  <c r="X215"/>
  <c r="X216" s="1"/>
  <c r="X210"/>
  <c r="P146"/>
  <c r="P152"/>
  <c r="P148"/>
  <c r="P192"/>
  <c r="P147"/>
  <c r="P153"/>
  <c r="R196"/>
  <c r="N127"/>
  <c r="N128" s="1"/>
  <c r="N140"/>
  <c r="W174"/>
  <c r="W175" s="1"/>
  <c r="W176" s="1"/>
  <c r="W188"/>
  <c r="W209" s="1"/>
  <c r="S201"/>
  <c r="S202" s="1"/>
  <c r="R197"/>
  <c r="S197"/>
  <c r="Q193"/>
  <c r="Q194"/>
  <c r="Q200"/>
  <c r="Q195"/>
  <c r="Q199"/>
  <c r="K136"/>
  <c r="J135"/>
  <c r="R150"/>
  <c r="I230"/>
  <c r="K233"/>
  <c r="T241" s="1"/>
  <c r="J231"/>
  <c r="J232" s="1"/>
  <c r="S186"/>
  <c r="P182"/>
  <c r="Q183"/>
  <c r="R184"/>
  <c r="R185" s="1"/>
  <c r="L138"/>
  <c r="K137"/>
  <c r="K138" s="1"/>
  <c r="N145" l="1"/>
  <c r="N129"/>
  <c r="W215"/>
  <c r="W216" s="1"/>
  <c r="R201"/>
  <c r="R202" s="1"/>
  <c r="S160"/>
  <c r="S161" s="1"/>
  <c r="S162"/>
  <c r="T168"/>
  <c r="T169" s="1"/>
  <c r="T163"/>
  <c r="K125"/>
  <c r="L126"/>
  <c r="O192"/>
  <c r="O146"/>
  <c r="O147"/>
  <c r="O152"/>
  <c r="O148"/>
  <c r="O153"/>
  <c r="V174"/>
  <c r="V175" s="1"/>
  <c r="V176" s="1"/>
  <c r="V188"/>
  <c r="V209" s="1"/>
  <c r="Q196"/>
  <c r="Q197" s="1"/>
  <c r="P149"/>
  <c r="W210"/>
  <c r="J136"/>
  <c r="I135"/>
  <c r="S204"/>
  <c r="R203"/>
  <c r="S206"/>
  <c r="S207" s="1"/>
  <c r="S208" s="1"/>
  <c r="S203"/>
  <c r="P195"/>
  <c r="P193"/>
  <c r="P200"/>
  <c r="P194"/>
  <c r="P199"/>
  <c r="X217"/>
  <c r="X218" s="1"/>
  <c r="X219" s="1"/>
  <c r="X236"/>
  <c r="Q160"/>
  <c r="Q161" s="1"/>
  <c r="Q162"/>
  <c r="Q168" s="1"/>
  <c r="Q169" s="1"/>
  <c r="M127"/>
  <c r="M128" s="1"/>
  <c r="M140"/>
  <c r="R159"/>
  <c r="R157"/>
  <c r="Q156"/>
  <c r="U173"/>
  <c r="J233"/>
  <c r="U241" s="1"/>
  <c r="H230"/>
  <c r="I231"/>
  <c r="I232" s="1"/>
  <c r="R186"/>
  <c r="O182"/>
  <c r="Q184"/>
  <c r="Q185" s="1"/>
  <c r="P183"/>
  <c r="P184" s="1"/>
  <c r="J137"/>
  <c r="J138" s="1"/>
  <c r="M145" l="1"/>
  <c r="M129"/>
  <c r="U174"/>
  <c r="U175" s="1"/>
  <c r="U176" s="1"/>
  <c r="U188"/>
  <c r="U209" s="1"/>
  <c r="R162"/>
  <c r="R160"/>
  <c r="R161" s="1"/>
  <c r="X220"/>
  <c r="I136"/>
  <c r="H135"/>
  <c r="P150"/>
  <c r="P154"/>
  <c r="P155" s="1"/>
  <c r="V215"/>
  <c r="V216" s="1"/>
  <c r="U210"/>
  <c r="L127"/>
  <c r="L128" s="1"/>
  <c r="L140"/>
  <c r="R163"/>
  <c r="S163"/>
  <c r="S168"/>
  <c r="S169" s="1"/>
  <c r="N192"/>
  <c r="N152"/>
  <c r="N153"/>
  <c r="N146"/>
  <c r="N148"/>
  <c r="N147"/>
  <c r="P196"/>
  <c r="O149"/>
  <c r="O154" s="1"/>
  <c r="O155" s="1"/>
  <c r="V210"/>
  <c r="Q170"/>
  <c r="Q171" s="1"/>
  <c r="Q189"/>
  <c r="Q201"/>
  <c r="Q202" s="1"/>
  <c r="P197"/>
  <c r="O200"/>
  <c r="O194"/>
  <c r="O193"/>
  <c r="O199"/>
  <c r="O195"/>
  <c r="K126"/>
  <c r="K127" s="1"/>
  <c r="J125"/>
  <c r="T170"/>
  <c r="T171" s="1"/>
  <c r="T172" s="1"/>
  <c r="T173" s="1"/>
  <c r="T188" s="1"/>
  <c r="T209" s="1"/>
  <c r="T215" s="1"/>
  <c r="T189"/>
  <c r="R206"/>
  <c r="R207" s="1"/>
  <c r="R208" s="1"/>
  <c r="R204"/>
  <c r="Q203"/>
  <c r="W217"/>
  <c r="W218" s="1"/>
  <c r="W219" s="1"/>
  <c r="W220" s="1"/>
  <c r="W236"/>
  <c r="H231"/>
  <c r="H232" s="1"/>
  <c r="I233"/>
  <c r="V241" s="1"/>
  <c r="G230"/>
  <c r="T216"/>
  <c r="Q186"/>
  <c r="P185"/>
  <c r="P186" s="1"/>
  <c r="O183"/>
  <c r="I137"/>
  <c r="I138" s="1"/>
  <c r="W235" l="1"/>
  <c r="L145"/>
  <c r="L129"/>
  <c r="K128"/>
  <c r="I125"/>
  <c r="J126"/>
  <c r="Q204"/>
  <c r="Q206"/>
  <c r="Q207" s="1"/>
  <c r="Q208" s="1"/>
  <c r="O157"/>
  <c r="O159"/>
  <c r="N195"/>
  <c r="N193"/>
  <c r="N200"/>
  <c r="N194"/>
  <c r="N199"/>
  <c r="V217"/>
  <c r="V218" s="1"/>
  <c r="V219" s="1"/>
  <c r="V220" s="1"/>
  <c r="V235" s="1"/>
  <c r="V236"/>
  <c r="P157"/>
  <c r="P159"/>
  <c r="P156"/>
  <c r="O156"/>
  <c r="H136"/>
  <c r="G135"/>
  <c r="X235"/>
  <c r="X221"/>
  <c r="X222" s="1"/>
  <c r="X223" s="1"/>
  <c r="G242" s="1"/>
  <c r="W221"/>
  <c r="R168"/>
  <c r="R169" s="1"/>
  <c r="Q163"/>
  <c r="U215"/>
  <c r="U216" s="1"/>
  <c r="T210"/>
  <c r="M147"/>
  <c r="M152"/>
  <c r="M148"/>
  <c r="M153"/>
  <c r="M192"/>
  <c r="M146"/>
  <c r="O196"/>
  <c r="K140"/>
  <c r="J127"/>
  <c r="P201"/>
  <c r="P202" s="1"/>
  <c r="O197"/>
  <c r="S170"/>
  <c r="S171" s="1"/>
  <c r="S172" s="1"/>
  <c r="S189"/>
  <c r="N149"/>
  <c r="O150"/>
  <c r="T174"/>
  <c r="T175" s="1"/>
  <c r="T176" s="1"/>
  <c r="G231"/>
  <c r="T217"/>
  <c r="T218" s="1"/>
  <c r="T236"/>
  <c r="F230"/>
  <c r="G232"/>
  <c r="H233"/>
  <c r="W241" s="1"/>
  <c r="M182"/>
  <c r="N182"/>
  <c r="N183" s="1"/>
  <c r="O184"/>
  <c r="O185" s="1"/>
  <c r="H137"/>
  <c r="M149" l="1"/>
  <c r="W222"/>
  <c r="W223" s="1"/>
  <c r="H242" s="1"/>
  <c r="O201"/>
  <c r="O202" s="1"/>
  <c r="M193"/>
  <c r="M195"/>
  <c r="M200"/>
  <c r="M194"/>
  <c r="M199"/>
  <c r="U236"/>
  <c r="U217"/>
  <c r="U218" s="1"/>
  <c r="U219" s="1"/>
  <c r="U220" s="1"/>
  <c r="R170"/>
  <c r="R171" s="1"/>
  <c r="R189"/>
  <c r="G136"/>
  <c r="F135"/>
  <c r="J140"/>
  <c r="K145"/>
  <c r="K129"/>
  <c r="J128"/>
  <c r="L147"/>
  <c r="L146"/>
  <c r="L148"/>
  <c r="L192"/>
  <c r="L152"/>
  <c r="L153"/>
  <c r="T219"/>
  <c r="T220" s="1"/>
  <c r="N196"/>
  <c r="N201" s="1"/>
  <c r="N202" s="1"/>
  <c r="N150"/>
  <c r="N154"/>
  <c r="N155" s="1"/>
  <c r="S173"/>
  <c r="R172"/>
  <c r="P206"/>
  <c r="P207" s="1"/>
  <c r="P208" s="1"/>
  <c r="P204"/>
  <c r="O203"/>
  <c r="M150"/>
  <c r="M154"/>
  <c r="M155" s="1"/>
  <c r="P162"/>
  <c r="P160"/>
  <c r="P161" s="1"/>
  <c r="O160"/>
  <c r="O161" s="1"/>
  <c r="O162"/>
  <c r="I126"/>
  <c r="I140" s="1"/>
  <c r="H125"/>
  <c r="P203"/>
  <c r="V221"/>
  <c r="V222" s="1"/>
  <c r="T221"/>
  <c r="T235"/>
  <c r="W4"/>
  <c r="G233"/>
  <c r="X241" s="1"/>
  <c r="F231"/>
  <c r="F232" s="1"/>
  <c r="F233" s="1"/>
  <c r="Y241" s="1"/>
  <c r="M183"/>
  <c r="M184" s="1"/>
  <c r="N184"/>
  <c r="N185" s="1"/>
  <c r="L182"/>
  <c r="O186"/>
  <c r="H138"/>
  <c r="G137"/>
  <c r="L149" l="1"/>
  <c r="M196"/>
  <c r="P163"/>
  <c r="P168"/>
  <c r="P169" s="1"/>
  <c r="O163"/>
  <c r="Q172"/>
  <c r="R173"/>
  <c r="N159"/>
  <c r="N157"/>
  <c r="M156"/>
  <c r="N156"/>
  <c r="N204"/>
  <c r="N206"/>
  <c r="N207" s="1"/>
  <c r="N208" s="1"/>
  <c r="L195"/>
  <c r="L200"/>
  <c r="L194"/>
  <c r="L199"/>
  <c r="L193"/>
  <c r="L196" s="1"/>
  <c r="L150"/>
  <c r="L154"/>
  <c r="L155" s="1"/>
  <c r="J145"/>
  <c r="J129"/>
  <c r="K192"/>
  <c r="K148"/>
  <c r="K147"/>
  <c r="K153"/>
  <c r="K146"/>
  <c r="K149" s="1"/>
  <c r="K152"/>
  <c r="U221"/>
  <c r="U235"/>
  <c r="M197"/>
  <c r="M201"/>
  <c r="M202" s="1"/>
  <c r="N203"/>
  <c r="O206"/>
  <c r="O207" s="1"/>
  <c r="O208" s="1"/>
  <c r="O204"/>
  <c r="U222"/>
  <c r="V223"/>
  <c r="I242" s="1"/>
  <c r="H126"/>
  <c r="G125"/>
  <c r="O168"/>
  <c r="O169" s="1"/>
  <c r="M159"/>
  <c r="M157"/>
  <c r="S188"/>
  <c r="S209" s="1"/>
  <c r="S174"/>
  <c r="S175" s="1"/>
  <c r="S176" s="1"/>
  <c r="R174"/>
  <c r="F136"/>
  <c r="F137" s="1"/>
  <c r="F138" s="1"/>
  <c r="I127"/>
  <c r="I128" s="1"/>
  <c r="N197"/>
  <c r="M185"/>
  <c r="N186"/>
  <c r="L183"/>
  <c r="G138"/>
  <c r="R175" l="1"/>
  <c r="R176" s="1"/>
  <c r="I145"/>
  <c r="I129"/>
  <c r="S210"/>
  <c r="S215"/>
  <c r="S216" s="1"/>
  <c r="M162"/>
  <c r="M168" s="1"/>
  <c r="M169" s="1"/>
  <c r="M160"/>
  <c r="M161" s="1"/>
  <c r="O170"/>
  <c r="O171" s="1"/>
  <c r="O189"/>
  <c r="H127"/>
  <c r="H128" s="1"/>
  <c r="H140"/>
  <c r="U223"/>
  <c r="J242" s="1"/>
  <c r="T222"/>
  <c r="T223" s="1"/>
  <c r="K242" s="1"/>
  <c r="M204"/>
  <c r="M206"/>
  <c r="M207" s="1"/>
  <c r="M208" s="1"/>
  <c r="M203"/>
  <c r="J192"/>
  <c r="J153"/>
  <c r="J147"/>
  <c r="J148"/>
  <c r="J146"/>
  <c r="J149" s="1"/>
  <c r="J154" s="1"/>
  <c r="J155" s="1"/>
  <c r="J152"/>
  <c r="R188"/>
  <c r="R209" s="1"/>
  <c r="F125"/>
  <c r="F126" s="1"/>
  <c r="G126"/>
  <c r="K150"/>
  <c r="K154"/>
  <c r="K155" s="1"/>
  <c r="K156" s="1"/>
  <c r="K194"/>
  <c r="K199"/>
  <c r="K200"/>
  <c r="K193"/>
  <c r="K195"/>
  <c r="L156"/>
  <c r="L157"/>
  <c r="L159"/>
  <c r="L197"/>
  <c r="L201"/>
  <c r="L202" s="1"/>
  <c r="N160"/>
  <c r="N161" s="1"/>
  <c r="N162"/>
  <c r="Q173"/>
  <c r="P170"/>
  <c r="P171" s="1"/>
  <c r="P172" s="1"/>
  <c r="P189"/>
  <c r="K182"/>
  <c r="K183" s="1"/>
  <c r="M186"/>
  <c r="L184"/>
  <c r="L185" s="1"/>
  <c r="J150" l="1"/>
  <c r="K196"/>
  <c r="K197" s="1"/>
  <c r="H145"/>
  <c r="H129"/>
  <c r="Q188"/>
  <c r="Q209" s="1"/>
  <c r="K157"/>
  <c r="K159"/>
  <c r="G127"/>
  <c r="G128" s="1"/>
  <c r="G140"/>
  <c r="M170"/>
  <c r="M171" s="1"/>
  <c r="M189"/>
  <c r="S236"/>
  <c r="S217"/>
  <c r="S218" s="1"/>
  <c r="S219" s="1"/>
  <c r="S220" s="1"/>
  <c r="I192"/>
  <c r="I153"/>
  <c r="I148"/>
  <c r="I147"/>
  <c r="I152"/>
  <c r="I146"/>
  <c r="I149" s="1"/>
  <c r="Q174"/>
  <c r="Q175" s="1"/>
  <c r="Q176" s="1"/>
  <c r="O172"/>
  <c r="P173"/>
  <c r="P174" s="1"/>
  <c r="P175" s="1"/>
  <c r="N168"/>
  <c r="N169" s="1"/>
  <c r="N163"/>
  <c r="M163"/>
  <c r="L204"/>
  <c r="L206"/>
  <c r="L207" s="1"/>
  <c r="L208" s="1"/>
  <c r="L203"/>
  <c r="L160"/>
  <c r="L161" s="1"/>
  <c r="L162"/>
  <c r="K201"/>
  <c r="K202" s="1"/>
  <c r="F127"/>
  <c r="F140"/>
  <c r="R215"/>
  <c r="R216" s="1"/>
  <c r="Q210"/>
  <c r="J156"/>
  <c r="J159"/>
  <c r="J157"/>
  <c r="J200"/>
  <c r="J199"/>
  <c r="J195"/>
  <c r="J193"/>
  <c r="J194"/>
  <c r="R210"/>
  <c r="L186"/>
  <c r="K184"/>
  <c r="K185" s="1"/>
  <c r="J182"/>
  <c r="J183" s="1"/>
  <c r="J196" l="1"/>
  <c r="J197" s="1"/>
  <c r="P176"/>
  <c r="G145"/>
  <c r="G129"/>
  <c r="F128"/>
  <c r="J160"/>
  <c r="J161" s="1"/>
  <c r="J162"/>
  <c r="J168" s="1"/>
  <c r="J169" s="1"/>
  <c r="L168"/>
  <c r="L169" s="1"/>
  <c r="L163"/>
  <c r="N170"/>
  <c r="N171" s="1"/>
  <c r="N189"/>
  <c r="O173"/>
  <c r="N172"/>
  <c r="I154"/>
  <c r="I155" s="1"/>
  <c r="I150"/>
  <c r="S235"/>
  <c r="S221"/>
  <c r="S222" s="1"/>
  <c r="S223" s="1"/>
  <c r="L242" s="1"/>
  <c r="K160"/>
  <c r="K161" s="1"/>
  <c r="K162"/>
  <c r="H192"/>
  <c r="H152"/>
  <c r="H146"/>
  <c r="H148"/>
  <c r="H147"/>
  <c r="H153"/>
  <c r="J201"/>
  <c r="J202" s="1"/>
  <c r="R236"/>
  <c r="R217"/>
  <c r="R218" s="1"/>
  <c r="R219" s="1"/>
  <c r="R220" s="1"/>
  <c r="K206"/>
  <c r="K207" s="1"/>
  <c r="K208" s="1"/>
  <c r="K204"/>
  <c r="O174"/>
  <c r="O175" s="1"/>
  <c r="O176" s="1"/>
  <c r="P188"/>
  <c r="P209" s="1"/>
  <c r="I194"/>
  <c r="I199"/>
  <c r="I200"/>
  <c r="I193"/>
  <c r="I195"/>
  <c r="Q215"/>
  <c r="Q216" s="1"/>
  <c r="P210"/>
  <c r="K203"/>
  <c r="J184"/>
  <c r="J185" s="1"/>
  <c r="J186" s="1"/>
  <c r="K186"/>
  <c r="G182"/>
  <c r="I182"/>
  <c r="I183" s="1"/>
  <c r="Q217" l="1"/>
  <c r="Q218" s="1"/>
  <c r="Q219" s="1"/>
  <c r="Q220" s="1"/>
  <c r="Q235" s="1"/>
  <c r="Q236"/>
  <c r="P215"/>
  <c r="P216" s="1"/>
  <c r="R235"/>
  <c r="Q221"/>
  <c r="K168"/>
  <c r="K169" s="1"/>
  <c r="J163"/>
  <c r="I157"/>
  <c r="I156"/>
  <c r="I159"/>
  <c r="O188"/>
  <c r="O209" s="1"/>
  <c r="J170"/>
  <c r="J171" s="1"/>
  <c r="J189"/>
  <c r="F145"/>
  <c r="F129"/>
  <c r="G147"/>
  <c r="G192"/>
  <c r="G152"/>
  <c r="G146"/>
  <c r="G148"/>
  <c r="G153"/>
  <c r="I196"/>
  <c r="R221"/>
  <c r="R222" s="1"/>
  <c r="J203"/>
  <c r="J206"/>
  <c r="J207" s="1"/>
  <c r="J208" s="1"/>
  <c r="J204"/>
  <c r="H200"/>
  <c r="H194"/>
  <c r="H199"/>
  <c r="H195"/>
  <c r="H193"/>
  <c r="M172"/>
  <c r="N173"/>
  <c r="N188" s="1"/>
  <c r="N209" s="1"/>
  <c r="L170"/>
  <c r="L171" s="1"/>
  <c r="L189"/>
  <c r="H149"/>
  <c r="K163"/>
  <c r="I184"/>
  <c r="I185" s="1"/>
  <c r="H182"/>
  <c r="H183" s="1"/>
  <c r="N215" l="1"/>
  <c r="N216" s="1"/>
  <c r="Q222"/>
  <c r="Q223" s="1"/>
  <c r="N242" s="1"/>
  <c r="R223"/>
  <c r="M242" s="1"/>
  <c r="G194"/>
  <c r="G193"/>
  <c r="G199"/>
  <c r="G195"/>
  <c r="G200"/>
  <c r="I160"/>
  <c r="I161" s="1"/>
  <c r="I162"/>
  <c r="K170"/>
  <c r="K171" s="1"/>
  <c r="K189"/>
  <c r="P217"/>
  <c r="P218" s="1"/>
  <c r="P219" s="1"/>
  <c r="P236"/>
  <c r="G149"/>
  <c r="N174"/>
  <c r="N175" s="1"/>
  <c r="H154"/>
  <c r="H155" s="1"/>
  <c r="H150"/>
  <c r="M173"/>
  <c r="L172"/>
  <c r="I201"/>
  <c r="I202" s="1"/>
  <c r="I197"/>
  <c r="F146"/>
  <c r="F147"/>
  <c r="F152"/>
  <c r="F192"/>
  <c r="F148"/>
  <c r="F153"/>
  <c r="O215"/>
  <c r="O216" s="1"/>
  <c r="N210"/>
  <c r="H196"/>
  <c r="H201" s="1"/>
  <c r="H202" s="1"/>
  <c r="O210"/>
  <c r="H184"/>
  <c r="H185" s="1"/>
  <c r="G183"/>
  <c r="I186"/>
  <c r="H204" l="1"/>
  <c r="H206"/>
  <c r="H207" s="1"/>
  <c r="H208" s="1"/>
  <c r="O217"/>
  <c r="O218" s="1"/>
  <c r="O236"/>
  <c r="K172"/>
  <c r="L173"/>
  <c r="N176"/>
  <c r="I168"/>
  <c r="I169" s="1"/>
  <c r="I163"/>
  <c r="N236"/>
  <c r="N217"/>
  <c r="N218" s="1"/>
  <c r="F149"/>
  <c r="H197"/>
  <c r="F193"/>
  <c r="F200"/>
  <c r="F194"/>
  <c r="F199"/>
  <c r="F195"/>
  <c r="I204"/>
  <c r="I206"/>
  <c r="I207" s="1"/>
  <c r="I208" s="1"/>
  <c r="H203"/>
  <c r="I203"/>
  <c r="M174"/>
  <c r="M175" s="1"/>
  <c r="M188"/>
  <c r="M209" s="1"/>
  <c r="H156"/>
  <c r="H157"/>
  <c r="H159"/>
  <c r="G156"/>
  <c r="G154"/>
  <c r="G155" s="1"/>
  <c r="G150"/>
  <c r="O219"/>
  <c r="P220"/>
  <c r="G196"/>
  <c r="H186"/>
  <c r="F182"/>
  <c r="F183" s="1"/>
  <c r="F184" s="1"/>
  <c r="G184"/>
  <c r="G185" s="1"/>
  <c r="M176" l="1"/>
  <c r="P235"/>
  <c r="P221"/>
  <c r="P222" s="1"/>
  <c r="P223" s="1"/>
  <c r="O242" s="1"/>
  <c r="G201"/>
  <c r="G202" s="1"/>
  <c r="G197"/>
  <c r="N219"/>
  <c r="O220"/>
  <c r="G159"/>
  <c r="G157"/>
  <c r="H160"/>
  <c r="H161" s="1"/>
  <c r="H162"/>
  <c r="I170"/>
  <c r="I171" s="1"/>
  <c r="I189"/>
  <c r="K173"/>
  <c r="J172"/>
  <c r="M215"/>
  <c r="M216" s="1"/>
  <c r="M210"/>
  <c r="F154"/>
  <c r="F155" s="1"/>
  <c r="F150"/>
  <c r="L174"/>
  <c r="L175" s="1"/>
  <c r="L188"/>
  <c r="L209" s="1"/>
  <c r="K174"/>
  <c r="F196"/>
  <c r="G186"/>
  <c r="F185"/>
  <c r="F186" s="1"/>
  <c r="K175" l="1"/>
  <c r="K176" s="1"/>
  <c r="L176"/>
  <c r="F201"/>
  <c r="F202" s="1"/>
  <c r="F197"/>
  <c r="L210"/>
  <c r="L215"/>
  <c r="L216" s="1"/>
  <c r="J173"/>
  <c r="J188" s="1"/>
  <c r="J209" s="1"/>
  <c r="I172"/>
  <c r="H168"/>
  <c r="H169" s="1"/>
  <c r="H163"/>
  <c r="O235"/>
  <c r="O221"/>
  <c r="O222" s="1"/>
  <c r="O223" s="1"/>
  <c r="P242" s="1"/>
  <c r="F156"/>
  <c r="F157"/>
  <c r="F159"/>
  <c r="M217"/>
  <c r="M218" s="1"/>
  <c r="M236"/>
  <c r="K188"/>
  <c r="K209" s="1"/>
  <c r="K215" s="1"/>
  <c r="K216" s="1"/>
  <c r="J174"/>
  <c r="J175" s="1"/>
  <c r="G162"/>
  <c r="G168" s="1"/>
  <c r="G169" s="1"/>
  <c r="G160"/>
  <c r="G161" s="1"/>
  <c r="M219"/>
  <c r="N220"/>
  <c r="G206"/>
  <c r="G207" s="1"/>
  <c r="G208" s="1"/>
  <c r="G204"/>
  <c r="G203"/>
  <c r="M220" l="1"/>
  <c r="K217"/>
  <c r="K218" s="1"/>
  <c r="K236"/>
  <c r="I173"/>
  <c r="L217"/>
  <c r="L218" s="1"/>
  <c r="L219" s="1"/>
  <c r="L236"/>
  <c r="F206"/>
  <c r="F207" s="1"/>
  <c r="F208" s="1"/>
  <c r="F204"/>
  <c r="F203"/>
  <c r="G163"/>
  <c r="G170"/>
  <c r="G171" s="1"/>
  <c r="G189"/>
  <c r="N235"/>
  <c r="M221"/>
  <c r="J176"/>
  <c r="F160"/>
  <c r="F161" s="1"/>
  <c r="F162"/>
  <c r="F168" s="1"/>
  <c r="F169" s="1"/>
  <c r="H170"/>
  <c r="H171" s="1"/>
  <c r="H172" s="1"/>
  <c r="H189"/>
  <c r="J210"/>
  <c r="J215"/>
  <c r="J216" s="1"/>
  <c r="N221"/>
  <c r="N222" s="1"/>
  <c r="K210"/>
  <c r="G172" l="1"/>
  <c r="G173" s="1"/>
  <c r="G188" s="1"/>
  <c r="G209" s="1"/>
  <c r="G215" s="1"/>
  <c r="G216" s="1"/>
  <c r="H173"/>
  <c r="K219"/>
  <c r="L220"/>
  <c r="M222"/>
  <c r="M223" s="1"/>
  <c r="R242" s="1"/>
  <c r="N223"/>
  <c r="Q242" s="1"/>
  <c r="I174"/>
  <c r="I175" s="1"/>
  <c r="I176" s="1"/>
  <c r="I188"/>
  <c r="I209" s="1"/>
  <c r="H174"/>
  <c r="H175" s="1"/>
  <c r="F163"/>
  <c r="J236"/>
  <c r="J217"/>
  <c r="J218" s="1"/>
  <c r="F170"/>
  <c r="F171" s="1"/>
  <c r="F172" s="1"/>
  <c r="F173" s="1"/>
  <c r="F189"/>
  <c r="M235"/>
  <c r="L221"/>
  <c r="L222" s="1"/>
  <c r="L223" s="1"/>
  <c r="S242" s="1"/>
  <c r="G217"/>
  <c r="G218" s="1"/>
  <c r="G236"/>
  <c r="F174" l="1"/>
  <c r="F188"/>
  <c r="F209" s="1"/>
  <c r="H176"/>
  <c r="K220"/>
  <c r="J219"/>
  <c r="J220" s="1"/>
  <c r="J235" s="1"/>
  <c r="I215"/>
  <c r="I216" s="1"/>
  <c r="I210"/>
  <c r="L235"/>
  <c r="K221"/>
  <c r="K222" s="1"/>
  <c r="K223" s="1"/>
  <c r="T242" s="1"/>
  <c r="H188"/>
  <c r="H209" s="1"/>
  <c r="H210" s="1"/>
  <c r="G174"/>
  <c r="G175" s="1"/>
  <c r="F175" l="1"/>
  <c r="F176" s="1"/>
  <c r="G176"/>
  <c r="I217"/>
  <c r="I218" s="1"/>
  <c r="I219" s="1"/>
  <c r="I236"/>
  <c r="K235"/>
  <c r="J221"/>
  <c r="J222" s="1"/>
  <c r="J223" s="1"/>
  <c r="U242" s="1"/>
  <c r="H215"/>
  <c r="H216" s="1"/>
  <c r="G210"/>
  <c r="F215"/>
  <c r="F216" s="1"/>
  <c r="F210"/>
  <c r="F236" l="1"/>
  <c r="F217"/>
  <c r="F218" s="1"/>
  <c r="H217"/>
  <c r="H218" s="1"/>
  <c r="H219" s="1"/>
  <c r="H236"/>
  <c r="I220"/>
  <c r="H220" l="1"/>
  <c r="G219"/>
  <c r="I235"/>
  <c r="I221"/>
  <c r="I222" s="1"/>
  <c r="I223" s="1"/>
  <c r="V242" s="1"/>
  <c r="H221"/>
  <c r="H222" s="1"/>
  <c r="H223" s="1"/>
  <c r="W242" s="1"/>
  <c r="H235" l="1"/>
  <c r="F219"/>
  <c r="F220" s="1"/>
  <c r="G220"/>
  <c r="F241"/>
  <c r="X244" l="1"/>
  <c r="F235"/>
  <c r="V245" s="1"/>
  <c r="X245" s="1"/>
  <c r="V244"/>
  <c r="W3"/>
  <c r="G235"/>
  <c r="F221"/>
  <c r="G221"/>
  <c r="G222" s="1"/>
  <c r="F222" l="1"/>
  <c r="F223" s="1"/>
  <c r="G223"/>
  <c r="X242" s="1"/>
  <c r="V246" l="1"/>
  <c r="Y242"/>
</calcChain>
</file>

<file path=xl/sharedStrings.xml><?xml version="1.0" encoding="utf-8"?>
<sst xmlns="http://schemas.openxmlformats.org/spreadsheetml/2006/main" count="205" uniqueCount="123">
  <si>
    <t>RING</t>
  </si>
  <si>
    <t># Rockets</t>
  </si>
  <si>
    <t>Diameter</t>
  </si>
  <si>
    <t>Inches</t>
  </si>
  <si>
    <t>Perimeter</t>
  </si>
  <si>
    <t xml:space="preserve">Rocket = </t>
  </si>
  <si>
    <t>ICC-1 Area - SF</t>
  </si>
  <si>
    <t>Payload - K  =</t>
  </si>
  <si>
    <t>Burn - secs =</t>
  </si>
  <si>
    <t>Launch Vehicle ICC-1 Development</t>
  </si>
  <si>
    <t>Height - Miles</t>
  </si>
  <si>
    <t>Delta X - Ft</t>
  </si>
  <si>
    <t>Length - In =</t>
  </si>
  <si>
    <t>Diam - In =</t>
  </si>
  <si>
    <t>Thrust - Kips =</t>
  </si>
  <si>
    <t xml:space="preserve">Isp = </t>
  </si>
  <si>
    <t>ICC-1 Diameter, Ft</t>
  </si>
  <si>
    <t>Ave. Height - Feet</t>
  </si>
  <si>
    <r>
      <t xml:space="preserve">Ambient Temperature - </t>
    </r>
    <r>
      <rPr>
        <b/>
        <sz val="11"/>
        <color theme="1"/>
        <rFont val="Times New Roman"/>
        <family val="1"/>
      </rPr>
      <t>º</t>
    </r>
    <r>
      <rPr>
        <b/>
        <sz val="11.2"/>
        <color theme="1"/>
        <rFont val="Calibri"/>
        <family val="2"/>
      </rPr>
      <t xml:space="preserve"> F</t>
    </r>
  </si>
  <si>
    <t>Ambient Pressure - psf</t>
  </si>
  <si>
    <t>Air density - slugs/CF</t>
  </si>
  <si>
    <t>gm/cm^3</t>
  </si>
  <si>
    <t>psi</t>
  </si>
  <si>
    <t>Delta Y - Ft</t>
  </si>
  <si>
    <t>Altitude  - Feet</t>
  </si>
  <si>
    <t>Downrange  - Feet</t>
  </si>
  <si>
    <t>Downrange - Miles</t>
  </si>
  <si>
    <t>Time - T minus zero - Seconds</t>
  </si>
  <si>
    <t>Cd =</t>
  </si>
  <si>
    <t>Start Wt =</t>
  </si>
  <si>
    <t>End Wt =</t>
  </si>
  <si>
    <t>TOTAL ICC-1 Rockets @ Start Stage  =</t>
  </si>
  <si>
    <t>Hybrid</t>
  </si>
  <si>
    <t>Compute Total ICC-1 Weight</t>
  </si>
  <si>
    <t>Averare Temp This Stage - º F</t>
  </si>
  <si>
    <t>Average Pressure this Stage - psf</t>
  </si>
  <si>
    <t>Total G's</t>
  </si>
  <si>
    <t>Axial Thrust - k</t>
  </si>
  <si>
    <t>Net Axial Thrust Y - K</t>
  </si>
  <si>
    <t>Average Acceleration Y - Ft/sec/sec</t>
  </si>
  <si>
    <t># Rockets This Stage</t>
  </si>
  <si>
    <t xml:space="preserve">TOTAL ICC-1 Rockets @ Start Stage </t>
  </si>
  <si>
    <t xml:space="preserve">Thrust - k </t>
  </si>
  <si>
    <t>Comments</t>
  </si>
  <si>
    <t>sum down from top</t>
  </si>
  <si>
    <t>sum from left</t>
  </si>
  <si>
    <t># rockets X thrust</t>
  </si>
  <si>
    <t>burn time &amp;* stage</t>
  </si>
  <si>
    <t>adjust tilt to zero out V-y</t>
  </si>
  <si>
    <t>Fuel Burn This Stage - K</t>
  </si>
  <si>
    <t>Payload - K</t>
  </si>
  <si>
    <t>Average ICC-1 Stage Weight  - K</t>
  </si>
  <si>
    <t>Total Axial Thrust X - K</t>
  </si>
  <si>
    <t>Average Acceleration X - Ft/sec/sec</t>
  </si>
  <si>
    <t>Delta Vy - Ft/sec/Sec</t>
  </si>
  <si>
    <t>Compute Trial 1 Trajectory - No Drag</t>
  </si>
  <si>
    <r>
      <t>Delta V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- Ft/Sec</t>
    </r>
  </si>
  <si>
    <r>
      <t>Final 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- Ft/Sec</t>
    </r>
  </si>
  <si>
    <r>
      <t>Final V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- MPH</t>
    </r>
  </si>
  <si>
    <t>Axial Velocity - MPH</t>
  </si>
  <si>
    <t>kg/M^3</t>
  </si>
  <si>
    <t>Axial Thrust Y - K</t>
  </si>
  <si>
    <r>
      <t xml:space="preserve">ICC-1 Inclination - </t>
    </r>
    <r>
      <rPr>
        <b/>
        <sz val="11"/>
        <color rgb="FF0070C0"/>
        <rFont val="Times New Roman"/>
        <family val="1"/>
      </rPr>
      <t>º</t>
    </r>
  </si>
  <si>
    <t>thrust minus weight  (gravity adjusted mass?)</t>
  </si>
  <si>
    <t>buggy NASA formula!!!</t>
  </si>
  <si>
    <t>Drag - #</t>
  </si>
  <si>
    <t xml:space="preserve"> Average Drag - K</t>
  </si>
  <si>
    <t>Cd * rho * V^2 * A / 2</t>
  </si>
  <si>
    <t>Thrust/Mass (weight??)</t>
  </si>
  <si>
    <t>Compute Trial 2 Trajectory - With Drag # 1</t>
  </si>
  <si>
    <t>Compute Trial 3 Trajectory - With Drag # 2</t>
  </si>
  <si>
    <t>mph</t>
  </si>
  <si>
    <t>Final Vy</t>
  </si>
  <si>
    <t>Final Vx</t>
  </si>
  <si>
    <t>Distance Downrange - Miles</t>
  </si>
  <si>
    <t>Altitude - Miles</t>
  </si>
  <si>
    <t>Roll</t>
  </si>
  <si>
    <t>Compute Atmospheric Conditions Trial # 1 (No Drag Yet)</t>
  </si>
  <si>
    <t>Cost</t>
  </si>
  <si>
    <t>rockets</t>
  </si>
  <si>
    <t>Launch</t>
  </si>
  <si>
    <t>Total G's - Y</t>
  </si>
  <si>
    <t>Total G's - X</t>
  </si>
  <si>
    <t>Axial G's</t>
  </si>
  <si>
    <t>V-y  Ft/Sec</t>
  </si>
  <si>
    <t>V-x - MPH</t>
  </si>
  <si>
    <t>Earth's rotation</t>
  </si>
  <si>
    <t>Initial Velocity - MPH</t>
  </si>
  <si>
    <t>Initial Height - Ft</t>
  </si>
  <si>
    <t>V-x - Ft/Sec</t>
  </si>
  <si>
    <r>
      <t xml:space="preserve">Latitude - </t>
    </r>
    <r>
      <rPr>
        <b/>
        <sz val="11"/>
        <color rgb="FF0070C0"/>
        <rFont val="Times New Roman"/>
        <family val="1"/>
      </rPr>
      <t>º N</t>
    </r>
  </si>
  <si>
    <t>Stage</t>
  </si>
  <si>
    <t>vectored to inclination</t>
  </si>
  <si>
    <t>32.2 ft/sec/sec</t>
  </si>
  <si>
    <t>Total</t>
  </si>
  <si>
    <t>Cost/#</t>
  </si>
  <si>
    <t>flip over</t>
  </si>
  <si>
    <t>Terminal Altitude</t>
  </si>
  <si>
    <t>Compute ICC-1 Stage Weight &amp; Thrust…………All calculated trajectory data values at end of stage burn</t>
  </si>
  <si>
    <t>Terminal Y Velocity</t>
  </si>
  <si>
    <t>Terminal X Velocity</t>
  </si>
  <si>
    <t>Extension  $</t>
  </si>
  <si>
    <t>start with  bungie launch ht. &amp; vel</t>
  </si>
  <si>
    <t>seems low???</t>
  </si>
  <si>
    <t>Average Pressure this Stage - psi</t>
  </si>
  <si>
    <t>V = aT</t>
  </si>
  <si>
    <t>Final V-X - MPH</t>
  </si>
  <si>
    <t>Final V-X MPH</t>
  </si>
  <si>
    <t>Final V X - MPH</t>
  </si>
  <si>
    <t>Arizona</t>
  </si>
  <si>
    <t>ave g =</t>
  </si>
  <si>
    <t xml:space="preserve">Net V mph = </t>
  </si>
  <si>
    <t>with no drag</t>
  </si>
  <si>
    <t>Launch Vehicle Wt. K  - Start of Stage</t>
  </si>
  <si>
    <t>Average ICC-1 Rocket Wt  This Stage  - K</t>
  </si>
  <si>
    <t>Plot Data  -  DRAG Convergence close enough….Delta Ht &lt;  2 miles</t>
  </si>
  <si>
    <t>Slingshot Launch -  Max Perigee Values before Stage 1 Ignition</t>
  </si>
  <si>
    <t xml:space="preserve">ICC-1 Rocket Wt. @ Start Stage - K </t>
  </si>
  <si>
    <t>start with earth's rotational speed</t>
  </si>
  <si>
    <r>
      <t>Y = v</t>
    </r>
    <r>
      <rPr>
        <vertAlign val="subscript"/>
        <sz val="11"/>
        <color theme="1"/>
        <rFont val="Calibri"/>
        <family val="2"/>
        <scheme val="minor"/>
      </rPr>
      <t>ave</t>
    </r>
    <r>
      <rPr>
        <sz val="11"/>
        <color theme="1"/>
        <rFont val="Calibri"/>
        <family val="2"/>
        <scheme val="minor"/>
      </rPr>
      <t>*T</t>
    </r>
  </si>
  <si>
    <t>NOTE: Not "atmospheric" velocity</t>
  </si>
  <si>
    <t>Radial Velocity  X- MPH</t>
  </si>
  <si>
    <t>Compute Atmospheric Conditions with Trial # 1 Drag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</si>
</sst>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0.0000"/>
    <numFmt numFmtId="168" formatCode="0.0E+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.2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166" fontId="0" fillId="0" borderId="0" xfId="0" applyNumberFormat="1"/>
    <xf numFmtId="1" fontId="0" fillId="0" borderId="0" xfId="0" applyNumberFormat="1"/>
    <xf numFmtId="167" fontId="0" fillId="0" borderId="0" xfId="0" applyNumberFormat="1"/>
    <xf numFmtId="2" fontId="0" fillId="0" borderId="0" xfId="0" applyNumberFormat="1"/>
    <xf numFmtId="1" fontId="0" fillId="0" borderId="0" xfId="1" applyNumberFormat="1" applyFont="1"/>
    <xf numFmtId="1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/>
    <xf numFmtId="167" fontId="2" fillId="0" borderId="0" xfId="0" applyNumberFormat="1" applyFont="1"/>
    <xf numFmtId="168" fontId="0" fillId="0" borderId="0" xfId="0" applyNumberFormat="1"/>
    <xf numFmtId="11" fontId="0" fillId="0" borderId="0" xfId="0" applyNumberForma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right"/>
    </xf>
    <xf numFmtId="165" fontId="0" fillId="0" borderId="2" xfId="0" applyNumberFormat="1" applyBorder="1"/>
    <xf numFmtId="165" fontId="0" fillId="0" borderId="3" xfId="0" applyNumberFormat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0" fillId="0" borderId="8" xfId="0" applyBorder="1"/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165" fontId="10" fillId="0" borderId="0" xfId="0" applyNumberFormat="1" applyFont="1"/>
    <xf numFmtId="0" fontId="10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applyFont="1"/>
    <xf numFmtId="165" fontId="12" fillId="0" borderId="0" xfId="1" applyNumberFormat="1" applyFont="1"/>
    <xf numFmtId="166" fontId="12" fillId="0" borderId="0" xfId="0" applyNumberFormat="1" applyFont="1"/>
    <xf numFmtId="164" fontId="12" fillId="0" borderId="0" xfId="1" applyNumberFormat="1" applyFont="1"/>
    <xf numFmtId="165" fontId="12" fillId="0" borderId="0" xfId="0" applyNumberFormat="1" applyFont="1"/>
    <xf numFmtId="0" fontId="2" fillId="0" borderId="1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44" fontId="2" fillId="0" borderId="0" xfId="2" applyFont="1" applyBorder="1"/>
    <xf numFmtId="44" fontId="2" fillId="0" borderId="11" xfId="0" applyNumberFormat="1" applyFont="1" applyBorder="1"/>
    <xf numFmtId="44" fontId="2" fillId="0" borderId="11" xfId="2" applyFont="1" applyBorder="1"/>
    <xf numFmtId="0" fontId="2" fillId="0" borderId="7" xfId="0" applyFont="1" applyBorder="1"/>
    <xf numFmtId="0" fontId="2" fillId="0" borderId="9" xfId="0" applyFont="1" applyBorder="1"/>
    <xf numFmtId="0" fontId="8" fillId="0" borderId="4" xfId="0" applyFont="1" applyBorder="1"/>
    <xf numFmtId="0" fontId="8" fillId="0" borderId="6" xfId="0" applyFont="1" applyBorder="1"/>
    <xf numFmtId="0" fontId="13" fillId="0" borderId="0" xfId="0" applyFont="1" applyAlignment="1">
      <alignment horizontal="right"/>
    </xf>
    <xf numFmtId="164" fontId="14" fillId="0" borderId="0" xfId="1" applyNumberFormat="1" applyFont="1"/>
    <xf numFmtId="0" fontId="14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43" fontId="16" fillId="0" borderId="0" xfId="0" applyNumberFormat="1" applyFont="1" applyAlignment="1">
      <alignment horizontal="left"/>
    </xf>
    <xf numFmtId="0" fontId="16" fillId="0" borderId="0" xfId="0" applyFont="1"/>
    <xf numFmtId="165" fontId="16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autoTitleDeleted val="1"/>
    <c:plotArea>
      <c:layout>
        <c:manualLayout>
          <c:layoutTarget val="inner"/>
          <c:xMode val="edge"/>
          <c:yMode val="edge"/>
          <c:x val="5.1060682988396951E-2"/>
          <c:y val="5.1798153609177222E-2"/>
          <c:w val="0.91744520459532719"/>
          <c:h val="0.84706093399056193"/>
        </c:manualLayout>
      </c:layout>
      <c:scatterChart>
        <c:scatterStyle val="lineMarker"/>
        <c:ser>
          <c:idx val="0"/>
          <c:order val="0"/>
          <c:marker>
            <c:symbol val="diamond"/>
            <c:size val="9"/>
          </c:marker>
          <c:xVal>
            <c:numRef>
              <c:f>Sheet1!$F$241:$Y$241</c:f>
              <c:numCache>
                <c:formatCode>0.0</c:formatCode>
                <c:ptCount val="20"/>
                <c:pt idx="0">
                  <c:v>0</c:v>
                </c:pt>
                <c:pt idx="1">
                  <c:v>4.2864948170828353E-16</c:v>
                </c:pt>
                <c:pt idx="2">
                  <c:v>9.7613604881461702E-16</c:v>
                </c:pt>
                <c:pt idx="3">
                  <c:v>1.7578280935460471E-15</c:v>
                </c:pt>
                <c:pt idx="4">
                  <c:v>2.7837827920420536E-15</c:v>
                </c:pt>
                <c:pt idx="5">
                  <c:v>4.0649885801279967E-15</c:v>
                </c:pt>
                <c:pt idx="6">
                  <c:v>5.6134091042286889E-15</c:v>
                </c:pt>
                <c:pt idx="7">
                  <c:v>7.4422390850157671E-15</c:v>
                </c:pt>
                <c:pt idx="8">
                  <c:v>0.21534614521817677</c:v>
                </c:pt>
                <c:pt idx="9">
                  <c:v>1.3214459878994529</c:v>
                </c:pt>
                <c:pt idx="10">
                  <c:v>4.2710146784181831</c:v>
                </c:pt>
                <c:pt idx="11">
                  <c:v>10.278900473204748</c:v>
                </c:pt>
                <c:pt idx="12">
                  <c:v>20.750329331788532</c:v>
                </c:pt>
                <c:pt idx="13">
                  <c:v>36.962706566231567</c:v>
                </c:pt>
                <c:pt idx="14">
                  <c:v>59.973809842052709</c:v>
                </c:pt>
                <c:pt idx="15">
                  <c:v>90.586326593479527</c:v>
                </c:pt>
                <c:pt idx="16">
                  <c:v>129.5360260032638</c:v>
                </c:pt>
                <c:pt idx="17">
                  <c:v>177.71625245141186</c:v>
                </c:pt>
                <c:pt idx="18">
                  <c:v>236.30534345091098</c:v>
                </c:pt>
                <c:pt idx="19">
                  <c:v>306.97577330934962</c:v>
                </c:pt>
              </c:numCache>
            </c:numRef>
          </c:xVal>
          <c:yVal>
            <c:numRef>
              <c:f>Sheet1!$F$242:$Y$242</c:f>
              <c:numCache>
                <c:formatCode>0.0</c:formatCode>
                <c:ptCount val="20"/>
                <c:pt idx="0">
                  <c:v>1.7088778984910464</c:v>
                </c:pt>
                <c:pt idx="1">
                  <c:v>3.8512414573606732</c:v>
                </c:pt>
                <c:pt idx="2">
                  <c:v>6.7386458303098955</c:v>
                </c:pt>
                <c:pt idx="3">
                  <c:v>10.468335217216872</c:v>
                </c:pt>
                <c:pt idx="4">
                  <c:v>15.186676954491228</c:v>
                </c:pt>
                <c:pt idx="5">
                  <c:v>21.068318004402272</c:v>
                </c:pt>
                <c:pt idx="6">
                  <c:v>28.284088457554653</c:v>
                </c:pt>
                <c:pt idx="7">
                  <c:v>37.00243220467182</c:v>
                </c:pt>
                <c:pt idx="8">
                  <c:v>47.39315872224612</c:v>
                </c:pt>
                <c:pt idx="9">
                  <c:v>59.588142503992152</c:v>
                </c:pt>
                <c:pt idx="10">
                  <c:v>73.631798697599706</c:v>
                </c:pt>
                <c:pt idx="11">
                  <c:v>89.360488089190611</c:v>
                </c:pt>
                <c:pt idx="12">
                  <c:v>106.32002757020763</c:v>
                </c:pt>
                <c:pt idx="13">
                  <c:v>123.79401469632388</c:v>
                </c:pt>
                <c:pt idx="14">
                  <c:v>140.81547341305739</c:v>
                </c:pt>
                <c:pt idx="15">
                  <c:v>156.70575706103435</c:v>
                </c:pt>
                <c:pt idx="16">
                  <c:v>171.38338883135276</c:v>
                </c:pt>
                <c:pt idx="17">
                  <c:v>184.98091962195241</c:v>
                </c:pt>
                <c:pt idx="18">
                  <c:v>197.7011414307795</c:v>
                </c:pt>
                <c:pt idx="19">
                  <c:v>209.87767727015532</c:v>
                </c:pt>
              </c:numCache>
            </c:numRef>
          </c:yVal>
        </c:ser>
        <c:axId val="89969408"/>
        <c:axId val="89971712"/>
      </c:scatterChart>
      <c:valAx>
        <c:axId val="899694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Downrange - Miles</a:t>
                </a:r>
              </a:p>
            </c:rich>
          </c:tx>
          <c:layout/>
        </c:title>
        <c:numFmt formatCode="0.0" sourceLinked="1"/>
        <c:tickLblPos val="low"/>
        <c:txPr>
          <a:bodyPr rot="0"/>
          <a:lstStyle/>
          <a:p>
            <a:pPr>
              <a:defRPr/>
            </a:pPr>
            <a:endParaRPr lang="en-US"/>
          </a:p>
        </c:txPr>
        <c:crossAx val="89971712"/>
        <c:crosses val="autoZero"/>
        <c:crossBetween val="midCat"/>
      </c:valAx>
      <c:valAx>
        <c:axId val="8997171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Height - Miles</a:t>
                </a:r>
              </a:p>
            </c:rich>
          </c:tx>
          <c:layout/>
        </c:title>
        <c:numFmt formatCode="0.0" sourceLinked="1"/>
        <c:tickLblPos val="nextTo"/>
        <c:crossAx val="89969408"/>
        <c:crosses val="autoZero"/>
        <c:crossBetween val="midCat"/>
      </c:valAx>
      <c:spPr>
        <a:gradFill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0"/>
        </a:gradFill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49</xdr:row>
      <xdr:rowOff>152400</xdr:rowOff>
    </xdr:from>
    <xdr:to>
      <xdr:col>27</xdr:col>
      <xdr:colOff>19050</xdr:colOff>
      <xdr:row>104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0.77139</cdr:x>
      <cdr:y>0.32638</cdr:y>
    </cdr:from>
    <cdr:to>
      <cdr:x>0.93989</cdr:x>
      <cdr:y>0.37548</cdr:y>
    </cdr:to>
    <cdr:sp macro="" textlink="Sheet1!$X$245">
      <cdr:nvSpPr>
        <cdr:cNvPr id="2" name="TextBox 1"/>
        <cdr:cNvSpPr txBox="1"/>
      </cdr:nvSpPr>
      <cdr:spPr>
        <a:xfrm xmlns:a="http://schemas.openxmlformats.org/drawingml/2006/main">
          <a:off x="13445974" y="3220657"/>
          <a:ext cx="2937026" cy="484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82009E20-3FAE-46A1-AA0D-8E4BF017596D}" type="TxLink">
            <a:rPr lang="en-US" sz="1600">
              <a:solidFill>
                <a:srgbClr val="FFFF00"/>
              </a:solidFill>
            </a:rPr>
            <a:t>Velocity Y  =20,628  MPH</a:t>
          </a:fld>
          <a:endParaRPr lang="en-US" sz="1600">
            <a:solidFill>
              <a:srgbClr val="FFFF00"/>
            </a:solidFill>
          </a:endParaRPr>
        </a:p>
      </cdr:txBody>
    </cdr:sp>
  </cdr:relSizeAnchor>
  <cdr:relSizeAnchor xmlns:cdr="http://schemas.openxmlformats.org/drawingml/2006/chartDrawing">
    <cdr:from>
      <cdr:x>0.47</cdr:x>
      <cdr:y>0.19752</cdr:y>
    </cdr:from>
    <cdr:to>
      <cdr:x>0.53175</cdr:x>
      <cdr:y>0.34053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60129" y="12629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0.5831</cdr:x>
      <cdr:y>0.52526</cdr:y>
    </cdr:from>
    <cdr:to>
      <cdr:x>0.83502</cdr:x>
      <cdr:y>0.62209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34942" y="3358444"/>
          <a:ext cx="37306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0.1385</cdr:x>
      <cdr:y>0.14394</cdr:y>
    </cdr:from>
    <cdr:to>
      <cdr:x>0.54907</cdr:x>
      <cdr:y>0.25691</cdr:y>
    </cdr:to>
    <cdr:sp macro="" textlink="Sheet1!$B$1">
      <cdr:nvSpPr>
        <cdr:cNvPr id="5" name="TextBox 4"/>
        <cdr:cNvSpPr txBox="1"/>
      </cdr:nvSpPr>
      <cdr:spPr>
        <a:xfrm xmlns:a="http://schemas.openxmlformats.org/drawingml/2006/main">
          <a:off x="2414086" y="1587635"/>
          <a:ext cx="7156543" cy="1246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FE6FD463-8819-4E0D-876B-CF1A24946515}" type="TxLink">
            <a:rPr lang="en-US" sz="2800">
              <a:solidFill>
                <a:srgbClr val="FFFF00"/>
              </a:solidFill>
            </a:rPr>
            <a:pPr/>
            <a:t>Launch Vehicle ICC-1 Development</a:t>
          </a:fld>
          <a:endParaRPr lang="en-US" sz="2800">
            <a:solidFill>
              <a:srgbClr val="FFFF00"/>
            </a:solidFill>
          </a:endParaRPr>
        </a:p>
      </cdr:txBody>
    </cdr:sp>
  </cdr:relSizeAnchor>
  <cdr:relSizeAnchor xmlns:cdr="http://schemas.openxmlformats.org/drawingml/2006/chartDrawing">
    <cdr:from>
      <cdr:x>0.18397</cdr:x>
      <cdr:y>0.2038</cdr:y>
    </cdr:from>
    <cdr:to>
      <cdr:x>0.40984</cdr:x>
      <cdr:y>0.26589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06811" y="2247900"/>
          <a:ext cx="3936939" cy="684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800">
              <a:solidFill>
                <a:srgbClr val="FFFF00"/>
              </a:solidFill>
            </a:rPr>
            <a:t>Trajectory  Calculations</a:t>
          </a:r>
        </a:p>
      </cdr:txBody>
    </cdr:sp>
  </cdr:relSizeAnchor>
  <cdr:relSizeAnchor xmlns:cdr="http://schemas.openxmlformats.org/drawingml/2006/chartDrawing">
    <cdr:from>
      <cdr:x>0.74458</cdr:x>
      <cdr:y>0.25371</cdr:y>
    </cdr:from>
    <cdr:to>
      <cdr:x>0.88072</cdr:x>
      <cdr:y>0.29706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2978593" y="2798411"/>
          <a:ext cx="2373022" cy="478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rgbClr val="FFFF00"/>
              </a:solidFill>
            </a:rPr>
            <a:t>Terminal Velocities</a:t>
          </a:r>
        </a:p>
      </cdr:txBody>
    </cdr:sp>
  </cdr:relSizeAnchor>
  <cdr:relSizeAnchor xmlns:cdr="http://schemas.openxmlformats.org/drawingml/2006/chartDrawing">
    <cdr:from>
      <cdr:x>0.77052</cdr:x>
      <cdr:y>0.32415</cdr:y>
    </cdr:from>
    <cdr:to>
      <cdr:x>0.90328</cdr:x>
      <cdr:y>0.35914</cdr:y>
    </cdr:to>
    <cdr:sp macro="" textlink="Sheet1!$X$243">
      <cdr:nvSpPr>
        <cdr:cNvPr id="10" name="TextBox 9"/>
        <cdr:cNvSpPr txBox="1"/>
      </cdr:nvSpPr>
      <cdr:spPr>
        <a:xfrm xmlns:a="http://schemas.openxmlformats.org/drawingml/2006/main">
          <a:off x="13430767" y="3198716"/>
          <a:ext cx="2314057" cy="3452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E17B5148-DE54-4BA7-BE18-4B68B01EED60}" type="TxLink">
            <a:rPr lang="en-US" sz="1600">
              <a:solidFill>
                <a:srgbClr val="FFFF00"/>
              </a:solidFill>
            </a:rPr>
            <a:t> </a:t>
          </a:fld>
          <a:endParaRPr lang="en-US" sz="1600">
            <a:solidFill>
              <a:srgbClr val="FFFF00"/>
            </a:solidFill>
          </a:endParaRPr>
        </a:p>
      </cdr:txBody>
    </cdr:sp>
  </cdr:relSizeAnchor>
  <cdr:relSizeAnchor xmlns:cdr="http://schemas.openxmlformats.org/drawingml/2006/chartDrawing">
    <cdr:from>
      <cdr:x>0.76989</cdr:x>
      <cdr:y>0.29091</cdr:y>
    </cdr:from>
    <cdr:to>
      <cdr:x>0.91694</cdr:x>
      <cdr:y>0.34801</cdr:y>
    </cdr:to>
    <cdr:sp macro="" textlink="Sheet1!$X$244">
      <cdr:nvSpPr>
        <cdr:cNvPr id="11" name="TextBox 10"/>
        <cdr:cNvSpPr txBox="1"/>
      </cdr:nvSpPr>
      <cdr:spPr>
        <a:xfrm xmlns:a="http://schemas.openxmlformats.org/drawingml/2006/main">
          <a:off x="13419821" y="2870673"/>
          <a:ext cx="2563129" cy="563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E8149BDB-BB2E-4708-9A7D-077581965AE2}" type="TxLink">
            <a:rPr lang="en-US" sz="1600">
              <a:solidFill>
                <a:srgbClr val="FFFF00"/>
              </a:solidFill>
            </a:rPr>
            <a:t>Velocity Y  =3,171  MPH</a:t>
          </a:fld>
          <a:endParaRPr lang="en-US" sz="1600">
            <a:solidFill>
              <a:srgbClr val="FFFF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246"/>
  <sheetViews>
    <sheetView tabSelected="1" topLeftCell="A121" zoomScale="80" zoomScaleNormal="80" workbookViewId="0">
      <selection activeCell="W162" sqref="W162"/>
    </sheetView>
  </sheetViews>
  <sheetFormatPr defaultRowHeight="14.4"/>
  <cols>
    <col min="1" max="1" width="4.33203125" customWidth="1"/>
    <col min="2" max="2" width="12.44140625" customWidth="1"/>
    <col min="6" max="6" width="10.44140625" customWidth="1"/>
    <col min="7" max="7" width="10.6640625" customWidth="1"/>
    <col min="8" max="8" width="10.21875" customWidth="1"/>
    <col min="9" max="9" width="11.109375" customWidth="1"/>
    <col min="10" max="10" width="10.88671875" customWidth="1"/>
    <col min="11" max="11" width="10.77734375" customWidth="1"/>
    <col min="12" max="12" width="10.5546875" customWidth="1"/>
    <col min="13" max="22" width="9.33203125" customWidth="1"/>
    <col min="23" max="23" width="9.44140625" customWidth="1"/>
    <col min="24" max="24" width="11.77734375" customWidth="1"/>
    <col min="25" max="25" width="12.5546875" customWidth="1"/>
    <col min="26" max="26" width="5.44140625" customWidth="1"/>
    <col min="27" max="27" width="11" bestFit="1" customWidth="1"/>
    <col min="30" max="30" width="13.44140625" customWidth="1"/>
    <col min="31" max="31" width="10.21875" bestFit="1" customWidth="1"/>
    <col min="32" max="32" width="13.6640625" customWidth="1"/>
    <col min="33" max="33" width="19.6640625" customWidth="1"/>
    <col min="34" max="34" width="15.33203125" customWidth="1"/>
  </cols>
  <sheetData>
    <row r="1" spans="2:31" ht="25.8">
      <c r="B1" s="48" t="s">
        <v>9</v>
      </c>
    </row>
    <row r="2" spans="2:31" ht="15" thickBot="1"/>
    <row r="3" spans="2:31">
      <c r="B3" s="36"/>
      <c r="C3" s="37" t="s">
        <v>5</v>
      </c>
      <c r="D3" s="38" t="s">
        <v>32</v>
      </c>
      <c r="E3" s="38"/>
      <c r="F3" s="37" t="s">
        <v>28</v>
      </c>
      <c r="G3" s="39">
        <v>0.5</v>
      </c>
      <c r="H3" s="38"/>
      <c r="I3" s="37" t="s">
        <v>7</v>
      </c>
      <c r="J3" s="39">
        <v>20</v>
      </c>
      <c r="K3" s="38"/>
      <c r="L3" s="40"/>
      <c r="M3" s="37" t="s">
        <v>15</v>
      </c>
      <c r="N3" s="39">
        <f>D4*1000/Q4</f>
        <v>12.5</v>
      </c>
      <c r="O3" s="38"/>
      <c r="P3" s="38"/>
      <c r="Q3" s="38"/>
      <c r="R3" s="38"/>
      <c r="S3" s="40"/>
      <c r="T3" s="41"/>
      <c r="V3" t="s">
        <v>72</v>
      </c>
      <c r="W3" s="8">
        <f>F220</f>
        <v>3170.5414275002499</v>
      </c>
      <c r="X3" t="s">
        <v>71</v>
      </c>
    </row>
    <row r="4" spans="2:31" ht="15" thickBot="1">
      <c r="B4" s="42"/>
      <c r="C4" s="43" t="s">
        <v>14</v>
      </c>
      <c r="D4" s="44">
        <v>1</v>
      </c>
      <c r="E4" s="45"/>
      <c r="F4" s="43" t="s">
        <v>13</v>
      </c>
      <c r="G4" s="44">
        <v>6</v>
      </c>
      <c r="H4" s="46"/>
      <c r="I4" s="43" t="s">
        <v>12</v>
      </c>
      <c r="J4" s="44">
        <v>40</v>
      </c>
      <c r="K4" s="46"/>
      <c r="L4" s="46"/>
      <c r="M4" s="43" t="s">
        <v>8</v>
      </c>
      <c r="N4" s="44">
        <v>20</v>
      </c>
      <c r="O4" s="46"/>
      <c r="P4" s="43" t="s">
        <v>29</v>
      </c>
      <c r="Q4" s="44">
        <v>80</v>
      </c>
      <c r="R4" s="46"/>
      <c r="S4" s="43" t="s">
        <v>30</v>
      </c>
      <c r="T4" s="47">
        <v>30</v>
      </c>
      <c r="V4" t="s">
        <v>73</v>
      </c>
      <c r="W4" s="8">
        <f>F230</f>
        <v>20382.541634663565</v>
      </c>
      <c r="X4" t="s">
        <v>71</v>
      </c>
    </row>
    <row r="5" spans="2:31" ht="15" thickBot="1">
      <c r="C5" s="10"/>
      <c r="D5" s="13"/>
      <c r="F5" s="10"/>
      <c r="G5" s="13"/>
      <c r="H5" s="1"/>
      <c r="I5" s="10"/>
      <c r="J5" s="13"/>
      <c r="K5" s="1"/>
      <c r="L5" s="1"/>
      <c r="M5" s="10"/>
      <c r="N5" s="13"/>
      <c r="O5" s="1"/>
      <c r="P5" s="10"/>
      <c r="Q5" s="13"/>
      <c r="R5" s="1"/>
      <c r="S5" s="10"/>
      <c r="T5" s="13"/>
    </row>
    <row r="6" spans="2:31" ht="21.6" thickBot="1">
      <c r="B6" s="26" t="s">
        <v>33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AE6" s="49" t="s">
        <v>43</v>
      </c>
    </row>
    <row r="7" spans="2:31">
      <c r="C7" s="2" t="s">
        <v>2</v>
      </c>
      <c r="D7" s="2" t="s">
        <v>4</v>
      </c>
      <c r="J7" s="1" t="str">
        <f>"------------------------------------------------------------------------STAGE----------------------------------------------------------------------------------------------------------"</f>
        <v>------------------------------------------------------------------------STAGE----------------------------------------------------------------------------------------------------------</v>
      </c>
    </row>
    <row r="8" spans="2:31" s="3" customFormat="1">
      <c r="B8" s="25" t="s">
        <v>0</v>
      </c>
      <c r="C8" s="4" t="s">
        <v>3</v>
      </c>
      <c r="D8" s="4" t="s">
        <v>3</v>
      </c>
      <c r="E8" s="3" t="s">
        <v>1</v>
      </c>
      <c r="F8" s="3">
        <v>20</v>
      </c>
      <c r="G8" s="3">
        <f>F8-1</f>
        <v>19</v>
      </c>
      <c r="H8" s="3">
        <f t="shared" ref="H8:Y8" si="0">G8-1</f>
        <v>18</v>
      </c>
      <c r="I8" s="3">
        <f t="shared" si="0"/>
        <v>17</v>
      </c>
      <c r="J8" s="3">
        <f t="shared" si="0"/>
        <v>16</v>
      </c>
      <c r="K8" s="3">
        <f t="shared" si="0"/>
        <v>15</v>
      </c>
      <c r="L8" s="3">
        <f t="shared" si="0"/>
        <v>14</v>
      </c>
      <c r="M8" s="3">
        <f t="shared" si="0"/>
        <v>13</v>
      </c>
      <c r="N8" s="3">
        <f t="shared" si="0"/>
        <v>12</v>
      </c>
      <c r="O8" s="3">
        <f t="shared" si="0"/>
        <v>11</v>
      </c>
      <c r="P8" s="3">
        <f t="shared" si="0"/>
        <v>10</v>
      </c>
      <c r="Q8" s="3">
        <f t="shared" si="0"/>
        <v>9</v>
      </c>
      <c r="R8" s="3">
        <f t="shared" si="0"/>
        <v>8</v>
      </c>
      <c r="S8" s="3">
        <f t="shared" si="0"/>
        <v>7</v>
      </c>
      <c r="T8" s="3">
        <f t="shared" si="0"/>
        <v>6</v>
      </c>
      <c r="U8" s="3">
        <f t="shared" si="0"/>
        <v>5</v>
      </c>
      <c r="V8" s="3">
        <f t="shared" si="0"/>
        <v>4</v>
      </c>
      <c r="W8" s="3">
        <f t="shared" si="0"/>
        <v>3</v>
      </c>
      <c r="X8" s="3">
        <f t="shared" si="0"/>
        <v>2</v>
      </c>
      <c r="Y8" s="3">
        <f t="shared" si="0"/>
        <v>1</v>
      </c>
      <c r="AA8" s="35" t="s">
        <v>0</v>
      </c>
    </row>
    <row r="9" spans="2:31">
      <c r="B9" s="10"/>
      <c r="D9" s="5"/>
      <c r="AA9" s="13"/>
    </row>
    <row r="10" spans="2:31">
      <c r="B10" s="10">
        <v>1</v>
      </c>
      <c r="C10">
        <f t="shared" ref="C10:C34" si="1">C9+2*$G$4</f>
        <v>12</v>
      </c>
      <c r="D10" s="5">
        <f>C10*PI()</f>
        <v>37.699111843077517</v>
      </c>
      <c r="E10" s="6">
        <f t="shared" ref="E10:E34" si="2">ROUND(D10/$G$4,0)</f>
        <v>6</v>
      </c>
      <c r="F10">
        <f t="shared" ref="F10:Y10" si="3">$E$10</f>
        <v>6</v>
      </c>
      <c r="G10">
        <f t="shared" si="3"/>
        <v>6</v>
      </c>
      <c r="H10">
        <f t="shared" si="3"/>
        <v>6</v>
      </c>
      <c r="I10">
        <f t="shared" si="3"/>
        <v>6</v>
      </c>
      <c r="J10">
        <f t="shared" si="3"/>
        <v>6</v>
      </c>
      <c r="K10">
        <f t="shared" si="3"/>
        <v>6</v>
      </c>
      <c r="L10">
        <f t="shared" si="3"/>
        <v>6</v>
      </c>
      <c r="M10">
        <f t="shared" si="3"/>
        <v>6</v>
      </c>
      <c r="N10">
        <f t="shared" si="3"/>
        <v>6</v>
      </c>
      <c r="O10">
        <f t="shared" si="3"/>
        <v>6</v>
      </c>
      <c r="P10">
        <f t="shared" si="3"/>
        <v>6</v>
      </c>
      <c r="Q10">
        <f t="shared" si="3"/>
        <v>6</v>
      </c>
      <c r="R10">
        <f t="shared" si="3"/>
        <v>6</v>
      </c>
      <c r="S10">
        <f t="shared" si="3"/>
        <v>6</v>
      </c>
      <c r="T10">
        <f t="shared" si="3"/>
        <v>6</v>
      </c>
      <c r="U10">
        <f t="shared" si="3"/>
        <v>6</v>
      </c>
      <c r="V10">
        <f t="shared" si="3"/>
        <v>6</v>
      </c>
      <c r="W10">
        <f t="shared" si="3"/>
        <v>6</v>
      </c>
      <c r="X10">
        <f t="shared" si="3"/>
        <v>6</v>
      </c>
      <c r="Y10">
        <f t="shared" si="3"/>
        <v>6</v>
      </c>
      <c r="AA10" s="13">
        <f>B10</f>
        <v>1</v>
      </c>
    </row>
    <row r="11" spans="2:31">
      <c r="B11" s="10">
        <v>2</v>
      </c>
      <c r="C11">
        <f t="shared" si="1"/>
        <v>24</v>
      </c>
      <c r="D11" s="5">
        <f t="shared" ref="D11:D28" si="4">C11*PI()</f>
        <v>75.398223686155035</v>
      </c>
      <c r="E11" s="6">
        <f t="shared" si="2"/>
        <v>13</v>
      </c>
      <c r="F11">
        <f>$E$11</f>
        <v>13</v>
      </c>
      <c r="G11">
        <f t="shared" ref="G11:Y11" si="5">$E$11</f>
        <v>13</v>
      </c>
      <c r="H11">
        <f t="shared" si="5"/>
        <v>13</v>
      </c>
      <c r="I11">
        <f t="shared" si="5"/>
        <v>13</v>
      </c>
      <c r="J11">
        <f t="shared" si="5"/>
        <v>13</v>
      </c>
      <c r="K11">
        <f t="shared" si="5"/>
        <v>13</v>
      </c>
      <c r="L11">
        <f t="shared" si="5"/>
        <v>13</v>
      </c>
      <c r="M11">
        <f t="shared" si="5"/>
        <v>13</v>
      </c>
      <c r="N11">
        <f t="shared" si="5"/>
        <v>13</v>
      </c>
      <c r="O11">
        <f t="shared" si="5"/>
        <v>13</v>
      </c>
      <c r="P11">
        <f t="shared" si="5"/>
        <v>13</v>
      </c>
      <c r="Q11">
        <f t="shared" si="5"/>
        <v>13</v>
      </c>
      <c r="R11">
        <f t="shared" si="5"/>
        <v>13</v>
      </c>
      <c r="S11">
        <f t="shared" si="5"/>
        <v>13</v>
      </c>
      <c r="T11">
        <f t="shared" si="5"/>
        <v>13</v>
      </c>
      <c r="U11">
        <f t="shared" si="5"/>
        <v>13</v>
      </c>
      <c r="V11">
        <f t="shared" si="5"/>
        <v>13</v>
      </c>
      <c r="W11">
        <f t="shared" si="5"/>
        <v>13</v>
      </c>
      <c r="X11">
        <f t="shared" si="5"/>
        <v>13</v>
      </c>
      <c r="Y11">
        <f t="shared" si="5"/>
        <v>13</v>
      </c>
      <c r="AA11" s="13">
        <f t="shared" ref="AA11:AA34" si="6">B11</f>
        <v>2</v>
      </c>
    </row>
    <row r="12" spans="2:31">
      <c r="B12" s="10">
        <v>3</v>
      </c>
      <c r="C12">
        <f t="shared" si="1"/>
        <v>36</v>
      </c>
      <c r="D12" s="5">
        <f t="shared" si="4"/>
        <v>113.09733552923255</v>
      </c>
      <c r="E12" s="6">
        <f t="shared" si="2"/>
        <v>19</v>
      </c>
      <c r="F12">
        <f>$E$12</f>
        <v>19</v>
      </c>
      <c r="G12">
        <f t="shared" ref="G12:Y12" si="7">$E$12</f>
        <v>19</v>
      </c>
      <c r="H12">
        <f t="shared" si="7"/>
        <v>19</v>
      </c>
      <c r="I12">
        <f t="shared" si="7"/>
        <v>19</v>
      </c>
      <c r="J12">
        <f t="shared" si="7"/>
        <v>19</v>
      </c>
      <c r="K12">
        <f t="shared" si="7"/>
        <v>19</v>
      </c>
      <c r="L12">
        <f t="shared" si="7"/>
        <v>19</v>
      </c>
      <c r="M12">
        <f t="shared" si="7"/>
        <v>19</v>
      </c>
      <c r="N12">
        <f t="shared" si="7"/>
        <v>19</v>
      </c>
      <c r="O12">
        <f t="shared" si="7"/>
        <v>19</v>
      </c>
      <c r="P12">
        <f t="shared" si="7"/>
        <v>19</v>
      </c>
      <c r="Q12">
        <f t="shared" si="7"/>
        <v>19</v>
      </c>
      <c r="R12">
        <f t="shared" si="7"/>
        <v>19</v>
      </c>
      <c r="S12">
        <f t="shared" si="7"/>
        <v>19</v>
      </c>
      <c r="T12">
        <f t="shared" si="7"/>
        <v>19</v>
      </c>
      <c r="U12">
        <f t="shared" si="7"/>
        <v>19</v>
      </c>
      <c r="V12">
        <f t="shared" si="7"/>
        <v>19</v>
      </c>
      <c r="W12">
        <f t="shared" si="7"/>
        <v>19</v>
      </c>
      <c r="X12">
        <f t="shared" si="7"/>
        <v>19</v>
      </c>
      <c r="Y12">
        <f t="shared" si="7"/>
        <v>19</v>
      </c>
      <c r="AA12" s="13">
        <f t="shared" si="6"/>
        <v>3</v>
      </c>
    </row>
    <row r="13" spans="2:31">
      <c r="B13" s="10">
        <v>4</v>
      </c>
      <c r="C13">
        <f t="shared" si="1"/>
        <v>48</v>
      </c>
      <c r="D13" s="5">
        <f t="shared" si="4"/>
        <v>150.79644737231007</v>
      </c>
      <c r="E13" s="6">
        <f t="shared" si="2"/>
        <v>25</v>
      </c>
      <c r="F13">
        <f>$E$13</f>
        <v>25</v>
      </c>
      <c r="G13">
        <f t="shared" ref="G13:Y13" si="8">$E$13</f>
        <v>25</v>
      </c>
      <c r="H13">
        <f t="shared" si="8"/>
        <v>25</v>
      </c>
      <c r="I13">
        <f t="shared" si="8"/>
        <v>25</v>
      </c>
      <c r="J13">
        <f t="shared" si="8"/>
        <v>25</v>
      </c>
      <c r="K13">
        <f t="shared" si="8"/>
        <v>25</v>
      </c>
      <c r="L13">
        <f t="shared" si="8"/>
        <v>25</v>
      </c>
      <c r="M13">
        <f t="shared" si="8"/>
        <v>25</v>
      </c>
      <c r="N13">
        <f t="shared" si="8"/>
        <v>25</v>
      </c>
      <c r="O13">
        <f t="shared" si="8"/>
        <v>25</v>
      </c>
      <c r="P13">
        <f t="shared" si="8"/>
        <v>25</v>
      </c>
      <c r="Q13">
        <f t="shared" si="8"/>
        <v>25</v>
      </c>
      <c r="R13">
        <f t="shared" si="8"/>
        <v>25</v>
      </c>
      <c r="S13">
        <f t="shared" si="8"/>
        <v>25</v>
      </c>
      <c r="T13">
        <f t="shared" si="8"/>
        <v>25</v>
      </c>
      <c r="U13">
        <f t="shared" si="8"/>
        <v>25</v>
      </c>
      <c r="V13">
        <f t="shared" si="8"/>
        <v>25</v>
      </c>
      <c r="W13">
        <f t="shared" si="8"/>
        <v>25</v>
      </c>
      <c r="X13">
        <f t="shared" si="8"/>
        <v>25</v>
      </c>
      <c r="Y13">
        <f t="shared" si="8"/>
        <v>25</v>
      </c>
      <c r="AA13" s="13">
        <f t="shared" si="6"/>
        <v>4</v>
      </c>
    </row>
    <row r="14" spans="2:31">
      <c r="B14" s="10">
        <v>5</v>
      </c>
      <c r="C14">
        <f t="shared" si="1"/>
        <v>60</v>
      </c>
      <c r="D14" s="5">
        <f t="shared" si="4"/>
        <v>188.49555921538757</v>
      </c>
      <c r="E14" s="6">
        <f t="shared" si="2"/>
        <v>31</v>
      </c>
      <c r="F14">
        <f>$E$14</f>
        <v>31</v>
      </c>
      <c r="G14">
        <f t="shared" ref="G14:Y14" si="9">$E$14</f>
        <v>31</v>
      </c>
      <c r="H14">
        <f t="shared" si="9"/>
        <v>31</v>
      </c>
      <c r="I14">
        <f t="shared" si="9"/>
        <v>31</v>
      </c>
      <c r="J14">
        <f t="shared" si="9"/>
        <v>31</v>
      </c>
      <c r="K14">
        <f t="shared" si="9"/>
        <v>31</v>
      </c>
      <c r="L14">
        <f t="shared" si="9"/>
        <v>31</v>
      </c>
      <c r="M14">
        <f t="shared" si="9"/>
        <v>31</v>
      </c>
      <c r="N14">
        <f t="shared" si="9"/>
        <v>31</v>
      </c>
      <c r="O14">
        <f t="shared" si="9"/>
        <v>31</v>
      </c>
      <c r="P14">
        <f t="shared" si="9"/>
        <v>31</v>
      </c>
      <c r="Q14">
        <f t="shared" si="9"/>
        <v>31</v>
      </c>
      <c r="R14">
        <f t="shared" si="9"/>
        <v>31</v>
      </c>
      <c r="S14">
        <f t="shared" si="9"/>
        <v>31</v>
      </c>
      <c r="T14">
        <f t="shared" si="9"/>
        <v>31</v>
      </c>
      <c r="U14">
        <f t="shared" si="9"/>
        <v>31</v>
      </c>
      <c r="V14">
        <f t="shared" si="9"/>
        <v>31</v>
      </c>
      <c r="W14">
        <f t="shared" si="9"/>
        <v>31</v>
      </c>
      <c r="X14">
        <f t="shared" si="9"/>
        <v>31</v>
      </c>
      <c r="Y14">
        <f t="shared" si="9"/>
        <v>31</v>
      </c>
      <c r="AA14" s="13">
        <f t="shared" si="6"/>
        <v>5</v>
      </c>
    </row>
    <row r="15" spans="2:31">
      <c r="B15" s="10">
        <v>6</v>
      </c>
      <c r="C15">
        <f t="shared" si="1"/>
        <v>72</v>
      </c>
      <c r="D15" s="5">
        <f t="shared" si="4"/>
        <v>226.1946710584651</v>
      </c>
      <c r="E15" s="6">
        <f t="shared" si="2"/>
        <v>38</v>
      </c>
      <c r="F15">
        <f>$E$15</f>
        <v>38</v>
      </c>
      <c r="G15">
        <f t="shared" ref="G15:Y15" si="10">$E$15</f>
        <v>38</v>
      </c>
      <c r="H15">
        <f t="shared" si="10"/>
        <v>38</v>
      </c>
      <c r="I15">
        <f t="shared" si="10"/>
        <v>38</v>
      </c>
      <c r="J15">
        <f t="shared" si="10"/>
        <v>38</v>
      </c>
      <c r="K15">
        <f t="shared" si="10"/>
        <v>38</v>
      </c>
      <c r="L15">
        <f t="shared" si="10"/>
        <v>38</v>
      </c>
      <c r="M15">
        <f t="shared" si="10"/>
        <v>38</v>
      </c>
      <c r="N15">
        <f t="shared" si="10"/>
        <v>38</v>
      </c>
      <c r="O15">
        <f t="shared" si="10"/>
        <v>38</v>
      </c>
      <c r="P15">
        <f t="shared" si="10"/>
        <v>38</v>
      </c>
      <c r="Q15">
        <f t="shared" si="10"/>
        <v>38</v>
      </c>
      <c r="R15">
        <f t="shared" si="10"/>
        <v>38</v>
      </c>
      <c r="S15">
        <f t="shared" si="10"/>
        <v>38</v>
      </c>
      <c r="T15">
        <f t="shared" si="10"/>
        <v>38</v>
      </c>
      <c r="U15">
        <f t="shared" si="10"/>
        <v>38</v>
      </c>
      <c r="V15">
        <f t="shared" si="10"/>
        <v>38</v>
      </c>
      <c r="W15">
        <f t="shared" si="10"/>
        <v>38</v>
      </c>
      <c r="X15">
        <f t="shared" si="10"/>
        <v>38</v>
      </c>
      <c r="Y15">
        <f t="shared" si="10"/>
        <v>38</v>
      </c>
      <c r="AA15" s="13">
        <f t="shared" si="6"/>
        <v>6</v>
      </c>
    </row>
    <row r="16" spans="2:31">
      <c r="B16" s="10">
        <v>7</v>
      </c>
      <c r="C16">
        <f t="shared" si="1"/>
        <v>84</v>
      </c>
      <c r="D16" s="5">
        <f t="shared" si="4"/>
        <v>263.89378290154264</v>
      </c>
      <c r="E16" s="6">
        <f t="shared" si="2"/>
        <v>44</v>
      </c>
      <c r="G16">
        <f t="shared" ref="G16:Y16" si="11">$E$16</f>
        <v>44</v>
      </c>
      <c r="H16">
        <f t="shared" si="11"/>
        <v>44</v>
      </c>
      <c r="I16">
        <f t="shared" si="11"/>
        <v>44</v>
      </c>
      <c r="J16">
        <f t="shared" si="11"/>
        <v>44</v>
      </c>
      <c r="K16">
        <f t="shared" si="11"/>
        <v>44</v>
      </c>
      <c r="L16">
        <f t="shared" si="11"/>
        <v>44</v>
      </c>
      <c r="M16">
        <f t="shared" si="11"/>
        <v>44</v>
      </c>
      <c r="N16">
        <f t="shared" si="11"/>
        <v>44</v>
      </c>
      <c r="O16">
        <f t="shared" si="11"/>
        <v>44</v>
      </c>
      <c r="P16">
        <f t="shared" si="11"/>
        <v>44</v>
      </c>
      <c r="Q16">
        <f t="shared" si="11"/>
        <v>44</v>
      </c>
      <c r="R16">
        <f t="shared" si="11"/>
        <v>44</v>
      </c>
      <c r="S16">
        <f t="shared" si="11"/>
        <v>44</v>
      </c>
      <c r="T16">
        <f t="shared" si="11"/>
        <v>44</v>
      </c>
      <c r="U16">
        <f t="shared" si="11"/>
        <v>44</v>
      </c>
      <c r="V16">
        <f t="shared" si="11"/>
        <v>44</v>
      </c>
      <c r="W16">
        <f t="shared" si="11"/>
        <v>44</v>
      </c>
      <c r="X16">
        <f t="shared" si="11"/>
        <v>44</v>
      </c>
      <c r="Y16">
        <f t="shared" si="11"/>
        <v>44</v>
      </c>
      <c r="AA16" s="13">
        <f t="shared" si="6"/>
        <v>7</v>
      </c>
    </row>
    <row r="17" spans="2:27">
      <c r="B17" s="10">
        <v>8</v>
      </c>
      <c r="C17">
        <f t="shared" si="1"/>
        <v>96</v>
      </c>
      <c r="D17" s="5">
        <f t="shared" si="4"/>
        <v>301.59289474462014</v>
      </c>
      <c r="E17" s="6">
        <f t="shared" si="2"/>
        <v>50</v>
      </c>
      <c r="H17">
        <f t="shared" ref="H17:Y17" si="12">$E$17</f>
        <v>50</v>
      </c>
      <c r="I17">
        <f t="shared" si="12"/>
        <v>50</v>
      </c>
      <c r="J17">
        <f t="shared" si="12"/>
        <v>50</v>
      </c>
      <c r="K17">
        <f t="shared" si="12"/>
        <v>50</v>
      </c>
      <c r="L17">
        <f t="shared" si="12"/>
        <v>50</v>
      </c>
      <c r="M17">
        <f t="shared" si="12"/>
        <v>50</v>
      </c>
      <c r="N17">
        <f t="shared" si="12"/>
        <v>50</v>
      </c>
      <c r="O17">
        <f t="shared" si="12"/>
        <v>50</v>
      </c>
      <c r="P17">
        <f t="shared" si="12"/>
        <v>50</v>
      </c>
      <c r="Q17">
        <f t="shared" si="12"/>
        <v>50</v>
      </c>
      <c r="R17">
        <f t="shared" si="12"/>
        <v>50</v>
      </c>
      <c r="S17">
        <f t="shared" si="12"/>
        <v>50</v>
      </c>
      <c r="T17">
        <f t="shared" si="12"/>
        <v>50</v>
      </c>
      <c r="U17">
        <f t="shared" si="12"/>
        <v>50</v>
      </c>
      <c r="V17">
        <f t="shared" si="12"/>
        <v>50</v>
      </c>
      <c r="W17">
        <f t="shared" si="12"/>
        <v>50</v>
      </c>
      <c r="X17">
        <f t="shared" si="12"/>
        <v>50</v>
      </c>
      <c r="Y17">
        <f t="shared" si="12"/>
        <v>50</v>
      </c>
      <c r="AA17" s="13">
        <f t="shared" si="6"/>
        <v>8</v>
      </c>
    </row>
    <row r="18" spans="2:27">
      <c r="B18" s="10">
        <v>9</v>
      </c>
      <c r="C18">
        <f t="shared" si="1"/>
        <v>108</v>
      </c>
      <c r="D18" s="5">
        <f t="shared" si="4"/>
        <v>339.29200658769764</v>
      </c>
      <c r="E18" s="6">
        <f t="shared" si="2"/>
        <v>57</v>
      </c>
      <c r="I18">
        <f t="shared" ref="I18:Y18" si="13">$E$18</f>
        <v>57</v>
      </c>
      <c r="J18">
        <f t="shared" si="13"/>
        <v>57</v>
      </c>
      <c r="K18">
        <f t="shared" si="13"/>
        <v>57</v>
      </c>
      <c r="L18">
        <f t="shared" si="13"/>
        <v>57</v>
      </c>
      <c r="M18">
        <f t="shared" si="13"/>
        <v>57</v>
      </c>
      <c r="N18">
        <f t="shared" si="13"/>
        <v>57</v>
      </c>
      <c r="O18">
        <f t="shared" si="13"/>
        <v>57</v>
      </c>
      <c r="P18">
        <f t="shared" si="13"/>
        <v>57</v>
      </c>
      <c r="Q18">
        <f t="shared" si="13"/>
        <v>57</v>
      </c>
      <c r="R18">
        <f t="shared" si="13"/>
        <v>57</v>
      </c>
      <c r="S18">
        <f t="shared" si="13"/>
        <v>57</v>
      </c>
      <c r="T18">
        <f t="shared" si="13"/>
        <v>57</v>
      </c>
      <c r="U18">
        <f t="shared" si="13"/>
        <v>57</v>
      </c>
      <c r="V18">
        <f t="shared" si="13"/>
        <v>57</v>
      </c>
      <c r="W18">
        <f t="shared" si="13"/>
        <v>57</v>
      </c>
      <c r="X18">
        <f t="shared" si="13"/>
        <v>57</v>
      </c>
      <c r="Y18">
        <f t="shared" si="13"/>
        <v>57</v>
      </c>
      <c r="AA18" s="13">
        <f t="shared" si="6"/>
        <v>9</v>
      </c>
    </row>
    <row r="19" spans="2:27">
      <c r="B19" s="10">
        <v>10</v>
      </c>
      <c r="C19">
        <f t="shared" si="1"/>
        <v>120</v>
      </c>
      <c r="D19" s="5">
        <f t="shared" si="4"/>
        <v>376.99111843077515</v>
      </c>
      <c r="E19" s="6">
        <f t="shared" si="2"/>
        <v>63</v>
      </c>
      <c r="J19">
        <f t="shared" ref="J19:Y19" si="14">$E$19</f>
        <v>63</v>
      </c>
      <c r="K19">
        <f t="shared" si="14"/>
        <v>63</v>
      </c>
      <c r="L19">
        <f t="shared" si="14"/>
        <v>63</v>
      </c>
      <c r="M19">
        <f t="shared" si="14"/>
        <v>63</v>
      </c>
      <c r="N19">
        <f t="shared" si="14"/>
        <v>63</v>
      </c>
      <c r="O19">
        <f t="shared" si="14"/>
        <v>63</v>
      </c>
      <c r="P19">
        <f t="shared" si="14"/>
        <v>63</v>
      </c>
      <c r="Q19">
        <f t="shared" si="14"/>
        <v>63</v>
      </c>
      <c r="R19">
        <f t="shared" si="14"/>
        <v>63</v>
      </c>
      <c r="S19">
        <f t="shared" si="14"/>
        <v>63</v>
      </c>
      <c r="T19">
        <f t="shared" si="14"/>
        <v>63</v>
      </c>
      <c r="U19">
        <f t="shared" si="14"/>
        <v>63</v>
      </c>
      <c r="V19">
        <f t="shared" si="14"/>
        <v>63</v>
      </c>
      <c r="W19">
        <f t="shared" si="14"/>
        <v>63</v>
      </c>
      <c r="X19">
        <f t="shared" si="14"/>
        <v>63</v>
      </c>
      <c r="Y19">
        <f t="shared" si="14"/>
        <v>63</v>
      </c>
      <c r="AA19" s="13">
        <f t="shared" si="6"/>
        <v>10</v>
      </c>
    </row>
    <row r="20" spans="2:27">
      <c r="B20" s="10">
        <v>11</v>
      </c>
      <c r="C20">
        <f t="shared" si="1"/>
        <v>132</v>
      </c>
      <c r="D20" s="5">
        <f t="shared" si="4"/>
        <v>414.69023027385271</v>
      </c>
      <c r="E20" s="6">
        <f t="shared" si="2"/>
        <v>69</v>
      </c>
      <c r="K20">
        <f t="shared" ref="K20:Y20" si="15">$E$20</f>
        <v>69</v>
      </c>
      <c r="L20">
        <f t="shared" si="15"/>
        <v>69</v>
      </c>
      <c r="M20">
        <f t="shared" si="15"/>
        <v>69</v>
      </c>
      <c r="N20">
        <f t="shared" si="15"/>
        <v>69</v>
      </c>
      <c r="O20">
        <f t="shared" si="15"/>
        <v>69</v>
      </c>
      <c r="P20">
        <f t="shared" si="15"/>
        <v>69</v>
      </c>
      <c r="Q20">
        <f t="shared" si="15"/>
        <v>69</v>
      </c>
      <c r="R20">
        <f t="shared" si="15"/>
        <v>69</v>
      </c>
      <c r="S20">
        <f t="shared" si="15"/>
        <v>69</v>
      </c>
      <c r="T20">
        <f t="shared" si="15"/>
        <v>69</v>
      </c>
      <c r="U20">
        <f t="shared" si="15"/>
        <v>69</v>
      </c>
      <c r="V20">
        <f t="shared" si="15"/>
        <v>69</v>
      </c>
      <c r="W20">
        <f t="shared" si="15"/>
        <v>69</v>
      </c>
      <c r="X20">
        <f t="shared" si="15"/>
        <v>69</v>
      </c>
      <c r="Y20">
        <f t="shared" si="15"/>
        <v>69</v>
      </c>
      <c r="AA20" s="13">
        <f t="shared" si="6"/>
        <v>11</v>
      </c>
    </row>
    <row r="21" spans="2:27">
      <c r="B21" s="10">
        <v>12</v>
      </c>
      <c r="C21">
        <f t="shared" si="1"/>
        <v>144</v>
      </c>
      <c r="D21" s="5">
        <f t="shared" si="4"/>
        <v>452.38934211693021</v>
      </c>
      <c r="E21" s="6">
        <f t="shared" si="2"/>
        <v>75</v>
      </c>
      <c r="L21">
        <f t="shared" ref="L21:Y21" si="16">$E$21</f>
        <v>75</v>
      </c>
      <c r="M21">
        <f t="shared" si="16"/>
        <v>75</v>
      </c>
      <c r="N21">
        <f t="shared" si="16"/>
        <v>75</v>
      </c>
      <c r="O21">
        <f t="shared" si="16"/>
        <v>75</v>
      </c>
      <c r="P21">
        <f t="shared" si="16"/>
        <v>75</v>
      </c>
      <c r="Q21">
        <f t="shared" si="16"/>
        <v>75</v>
      </c>
      <c r="R21">
        <f t="shared" si="16"/>
        <v>75</v>
      </c>
      <c r="S21">
        <f t="shared" si="16"/>
        <v>75</v>
      </c>
      <c r="T21">
        <f t="shared" si="16"/>
        <v>75</v>
      </c>
      <c r="U21">
        <f t="shared" si="16"/>
        <v>75</v>
      </c>
      <c r="V21">
        <f t="shared" si="16"/>
        <v>75</v>
      </c>
      <c r="W21">
        <f t="shared" si="16"/>
        <v>75</v>
      </c>
      <c r="X21">
        <f t="shared" si="16"/>
        <v>75</v>
      </c>
      <c r="Y21">
        <f t="shared" si="16"/>
        <v>75</v>
      </c>
      <c r="AA21" s="13">
        <f t="shared" si="6"/>
        <v>12</v>
      </c>
    </row>
    <row r="22" spans="2:27">
      <c r="B22" s="10">
        <v>13</v>
      </c>
      <c r="C22">
        <f t="shared" si="1"/>
        <v>156</v>
      </c>
      <c r="D22" s="5">
        <f t="shared" si="4"/>
        <v>490.08845396000771</v>
      </c>
      <c r="E22" s="6">
        <f t="shared" si="2"/>
        <v>82</v>
      </c>
      <c r="M22">
        <f t="shared" ref="M22:Y22" si="17">$E$22</f>
        <v>82</v>
      </c>
      <c r="N22">
        <f t="shared" si="17"/>
        <v>82</v>
      </c>
      <c r="O22">
        <f t="shared" si="17"/>
        <v>82</v>
      </c>
      <c r="P22">
        <f t="shared" si="17"/>
        <v>82</v>
      </c>
      <c r="Q22">
        <f t="shared" si="17"/>
        <v>82</v>
      </c>
      <c r="R22">
        <f t="shared" si="17"/>
        <v>82</v>
      </c>
      <c r="S22">
        <f t="shared" si="17"/>
        <v>82</v>
      </c>
      <c r="T22">
        <f t="shared" si="17"/>
        <v>82</v>
      </c>
      <c r="U22">
        <f t="shared" si="17"/>
        <v>82</v>
      </c>
      <c r="V22">
        <f t="shared" si="17"/>
        <v>82</v>
      </c>
      <c r="W22">
        <f t="shared" si="17"/>
        <v>82</v>
      </c>
      <c r="X22">
        <f t="shared" si="17"/>
        <v>82</v>
      </c>
      <c r="Y22">
        <f t="shared" si="17"/>
        <v>82</v>
      </c>
      <c r="AA22" s="13">
        <f t="shared" si="6"/>
        <v>13</v>
      </c>
    </row>
    <row r="23" spans="2:27">
      <c r="B23" s="10">
        <v>14</v>
      </c>
      <c r="C23">
        <f t="shared" si="1"/>
        <v>168</v>
      </c>
      <c r="D23" s="5">
        <f t="shared" si="4"/>
        <v>527.78756580308527</v>
      </c>
      <c r="E23" s="6">
        <f t="shared" si="2"/>
        <v>88</v>
      </c>
      <c r="N23">
        <f t="shared" ref="N23:Y23" si="18">$E$23</f>
        <v>88</v>
      </c>
      <c r="O23">
        <f t="shared" si="18"/>
        <v>88</v>
      </c>
      <c r="P23">
        <f t="shared" si="18"/>
        <v>88</v>
      </c>
      <c r="Q23">
        <f t="shared" si="18"/>
        <v>88</v>
      </c>
      <c r="R23">
        <f t="shared" si="18"/>
        <v>88</v>
      </c>
      <c r="S23">
        <f t="shared" si="18"/>
        <v>88</v>
      </c>
      <c r="T23">
        <f t="shared" si="18"/>
        <v>88</v>
      </c>
      <c r="U23">
        <f t="shared" si="18"/>
        <v>88</v>
      </c>
      <c r="V23">
        <f t="shared" si="18"/>
        <v>88</v>
      </c>
      <c r="W23">
        <f t="shared" si="18"/>
        <v>88</v>
      </c>
      <c r="X23">
        <f t="shared" si="18"/>
        <v>88</v>
      </c>
      <c r="Y23">
        <f t="shared" si="18"/>
        <v>88</v>
      </c>
      <c r="AA23" s="13">
        <f t="shared" si="6"/>
        <v>14</v>
      </c>
    </row>
    <row r="24" spans="2:27">
      <c r="B24" s="10">
        <v>15</v>
      </c>
      <c r="C24">
        <f t="shared" si="1"/>
        <v>180</v>
      </c>
      <c r="D24" s="5">
        <f t="shared" si="4"/>
        <v>565.48667764616278</v>
      </c>
      <c r="E24" s="6">
        <f t="shared" si="2"/>
        <v>94</v>
      </c>
      <c r="O24">
        <f t="shared" ref="O24:Y24" si="19">$E$24</f>
        <v>94</v>
      </c>
      <c r="P24">
        <f t="shared" si="19"/>
        <v>94</v>
      </c>
      <c r="Q24">
        <f t="shared" si="19"/>
        <v>94</v>
      </c>
      <c r="R24">
        <f t="shared" si="19"/>
        <v>94</v>
      </c>
      <c r="S24">
        <f t="shared" si="19"/>
        <v>94</v>
      </c>
      <c r="T24">
        <f t="shared" si="19"/>
        <v>94</v>
      </c>
      <c r="U24">
        <f t="shared" si="19"/>
        <v>94</v>
      </c>
      <c r="V24">
        <f t="shared" si="19"/>
        <v>94</v>
      </c>
      <c r="W24">
        <f t="shared" si="19"/>
        <v>94</v>
      </c>
      <c r="X24">
        <f t="shared" si="19"/>
        <v>94</v>
      </c>
      <c r="Y24">
        <f t="shared" si="19"/>
        <v>94</v>
      </c>
      <c r="AA24" s="13">
        <f t="shared" si="6"/>
        <v>15</v>
      </c>
    </row>
    <row r="25" spans="2:27">
      <c r="B25" s="10">
        <v>16</v>
      </c>
      <c r="C25">
        <f t="shared" si="1"/>
        <v>192</v>
      </c>
      <c r="D25" s="5">
        <f t="shared" si="4"/>
        <v>603.18578948924028</v>
      </c>
      <c r="E25" s="6">
        <f t="shared" si="2"/>
        <v>101</v>
      </c>
      <c r="P25">
        <f>$E$25</f>
        <v>101</v>
      </c>
      <c r="Q25">
        <f>$E$25</f>
        <v>101</v>
      </c>
      <c r="R25">
        <f t="shared" ref="R25:Y25" si="20">$E$25</f>
        <v>101</v>
      </c>
      <c r="S25">
        <f t="shared" si="20"/>
        <v>101</v>
      </c>
      <c r="T25">
        <f t="shared" si="20"/>
        <v>101</v>
      </c>
      <c r="U25">
        <f t="shared" si="20"/>
        <v>101</v>
      </c>
      <c r="V25">
        <f t="shared" si="20"/>
        <v>101</v>
      </c>
      <c r="W25">
        <f t="shared" si="20"/>
        <v>101</v>
      </c>
      <c r="X25">
        <f t="shared" si="20"/>
        <v>101</v>
      </c>
      <c r="Y25">
        <f t="shared" si="20"/>
        <v>101</v>
      </c>
      <c r="AA25" s="13">
        <f t="shared" si="6"/>
        <v>16</v>
      </c>
    </row>
    <row r="26" spans="2:27">
      <c r="B26" s="10">
        <v>17</v>
      </c>
      <c r="C26">
        <f t="shared" si="1"/>
        <v>204</v>
      </c>
      <c r="D26" s="5">
        <f t="shared" si="4"/>
        <v>640.88490133231778</v>
      </c>
      <c r="E26" s="6">
        <f t="shared" si="2"/>
        <v>107</v>
      </c>
      <c r="Q26">
        <f>$E$26</f>
        <v>107</v>
      </c>
      <c r="R26">
        <f t="shared" ref="R26:Y26" si="21">$E$26</f>
        <v>107</v>
      </c>
      <c r="S26">
        <f t="shared" si="21"/>
        <v>107</v>
      </c>
      <c r="T26">
        <f t="shared" si="21"/>
        <v>107</v>
      </c>
      <c r="U26">
        <f t="shared" si="21"/>
        <v>107</v>
      </c>
      <c r="V26">
        <f t="shared" si="21"/>
        <v>107</v>
      </c>
      <c r="W26">
        <f t="shared" si="21"/>
        <v>107</v>
      </c>
      <c r="X26">
        <f t="shared" si="21"/>
        <v>107</v>
      </c>
      <c r="Y26">
        <f t="shared" si="21"/>
        <v>107</v>
      </c>
      <c r="AA26" s="13">
        <f t="shared" si="6"/>
        <v>17</v>
      </c>
    </row>
    <row r="27" spans="2:27">
      <c r="B27" s="10">
        <v>18</v>
      </c>
      <c r="C27">
        <f t="shared" si="1"/>
        <v>216</v>
      </c>
      <c r="D27" s="5">
        <f t="shared" si="4"/>
        <v>678.58401317539528</v>
      </c>
      <c r="E27" s="6">
        <f t="shared" si="2"/>
        <v>113</v>
      </c>
      <c r="R27">
        <f>$E$27</f>
        <v>113</v>
      </c>
      <c r="S27">
        <f>$E$27</f>
        <v>113</v>
      </c>
      <c r="T27">
        <f t="shared" ref="T27:Y27" si="22">$E$27</f>
        <v>113</v>
      </c>
      <c r="U27">
        <f t="shared" si="22"/>
        <v>113</v>
      </c>
      <c r="V27">
        <f t="shared" si="22"/>
        <v>113</v>
      </c>
      <c r="W27">
        <f t="shared" si="22"/>
        <v>113</v>
      </c>
      <c r="X27">
        <f t="shared" si="22"/>
        <v>113</v>
      </c>
      <c r="Y27">
        <f t="shared" si="22"/>
        <v>113</v>
      </c>
      <c r="AA27" s="13">
        <f t="shared" si="6"/>
        <v>18</v>
      </c>
    </row>
    <row r="28" spans="2:27">
      <c r="B28" s="10">
        <v>19</v>
      </c>
      <c r="C28">
        <f t="shared" si="1"/>
        <v>228</v>
      </c>
      <c r="D28" s="5">
        <f t="shared" si="4"/>
        <v>716.28312501847279</v>
      </c>
      <c r="E28" s="6">
        <f t="shared" si="2"/>
        <v>119</v>
      </c>
      <c r="S28">
        <f>$E$28</f>
        <v>119</v>
      </c>
      <c r="T28">
        <f t="shared" ref="T28:Y28" si="23">$E$28</f>
        <v>119</v>
      </c>
      <c r="U28">
        <f t="shared" si="23"/>
        <v>119</v>
      </c>
      <c r="V28">
        <f t="shared" si="23"/>
        <v>119</v>
      </c>
      <c r="W28">
        <f t="shared" si="23"/>
        <v>119</v>
      </c>
      <c r="X28">
        <f t="shared" si="23"/>
        <v>119</v>
      </c>
      <c r="Y28">
        <f t="shared" si="23"/>
        <v>119</v>
      </c>
      <c r="AA28" s="13">
        <f t="shared" si="6"/>
        <v>19</v>
      </c>
    </row>
    <row r="29" spans="2:27">
      <c r="B29" s="10">
        <v>20</v>
      </c>
      <c r="C29">
        <f t="shared" si="1"/>
        <v>240</v>
      </c>
      <c r="D29" s="5">
        <f t="shared" ref="D29:D34" si="24">C29*PI()</f>
        <v>753.98223686155029</v>
      </c>
      <c r="E29" s="6">
        <f t="shared" si="2"/>
        <v>126</v>
      </c>
      <c r="T29">
        <f>$E$29</f>
        <v>126</v>
      </c>
      <c r="U29">
        <f t="shared" ref="U29:Y29" si="25">$E$29</f>
        <v>126</v>
      </c>
      <c r="V29">
        <f t="shared" si="25"/>
        <v>126</v>
      </c>
      <c r="W29">
        <f t="shared" si="25"/>
        <v>126</v>
      </c>
      <c r="X29">
        <f t="shared" si="25"/>
        <v>126</v>
      </c>
      <c r="Y29">
        <f t="shared" si="25"/>
        <v>126</v>
      </c>
      <c r="AA29" s="13">
        <f t="shared" si="6"/>
        <v>20</v>
      </c>
    </row>
    <row r="30" spans="2:27">
      <c r="B30" s="10">
        <v>21</v>
      </c>
      <c r="C30">
        <f t="shared" si="1"/>
        <v>252</v>
      </c>
      <c r="D30" s="5">
        <f t="shared" si="24"/>
        <v>791.68134870462791</v>
      </c>
      <c r="E30" s="6">
        <f t="shared" si="2"/>
        <v>132</v>
      </c>
      <c r="U30">
        <f t="shared" ref="U30:Y30" si="26">$E$30</f>
        <v>132</v>
      </c>
      <c r="V30">
        <f t="shared" si="26"/>
        <v>132</v>
      </c>
      <c r="W30">
        <f t="shared" si="26"/>
        <v>132</v>
      </c>
      <c r="X30">
        <f t="shared" si="26"/>
        <v>132</v>
      </c>
      <c r="Y30">
        <f t="shared" si="26"/>
        <v>132</v>
      </c>
      <c r="AA30" s="13">
        <f t="shared" si="6"/>
        <v>21</v>
      </c>
    </row>
    <row r="31" spans="2:27">
      <c r="B31" s="10">
        <v>22</v>
      </c>
      <c r="C31">
        <f t="shared" si="1"/>
        <v>264</v>
      </c>
      <c r="D31" s="5">
        <f t="shared" si="24"/>
        <v>829.38046054770541</v>
      </c>
      <c r="E31" s="6">
        <f t="shared" si="2"/>
        <v>138</v>
      </c>
      <c r="V31">
        <f t="shared" ref="V31:Y31" si="27">$E$31</f>
        <v>138</v>
      </c>
      <c r="W31">
        <f t="shared" si="27"/>
        <v>138</v>
      </c>
      <c r="X31">
        <f t="shared" si="27"/>
        <v>138</v>
      </c>
      <c r="Y31">
        <f t="shared" si="27"/>
        <v>138</v>
      </c>
      <c r="AA31" s="13">
        <f t="shared" si="6"/>
        <v>22</v>
      </c>
    </row>
    <row r="32" spans="2:27">
      <c r="B32" s="10">
        <v>23</v>
      </c>
      <c r="C32">
        <f t="shared" si="1"/>
        <v>276</v>
      </c>
      <c r="D32" s="5">
        <f t="shared" si="24"/>
        <v>867.07957239078291</v>
      </c>
      <c r="E32" s="6">
        <f t="shared" si="2"/>
        <v>145</v>
      </c>
      <c r="W32">
        <f t="shared" ref="W32:Y32" si="28">$E$32</f>
        <v>145</v>
      </c>
      <c r="X32">
        <f t="shared" si="28"/>
        <v>145</v>
      </c>
      <c r="Y32">
        <f t="shared" si="28"/>
        <v>145</v>
      </c>
      <c r="AA32" s="13">
        <f t="shared" si="6"/>
        <v>23</v>
      </c>
    </row>
    <row r="33" spans="2:31">
      <c r="B33" s="10">
        <v>24</v>
      </c>
      <c r="C33">
        <f t="shared" si="1"/>
        <v>288</v>
      </c>
      <c r="D33" s="5">
        <f t="shared" si="24"/>
        <v>904.77868423386042</v>
      </c>
      <c r="E33" s="6">
        <f t="shared" si="2"/>
        <v>151</v>
      </c>
      <c r="X33">
        <f t="shared" ref="X33:Y33" si="29">$E$33</f>
        <v>151</v>
      </c>
      <c r="Y33">
        <f t="shared" si="29"/>
        <v>151</v>
      </c>
      <c r="AA33" s="13">
        <f t="shared" si="6"/>
        <v>24</v>
      </c>
    </row>
    <row r="34" spans="2:31">
      <c r="B34" s="10">
        <v>25</v>
      </c>
      <c r="C34">
        <f t="shared" si="1"/>
        <v>300</v>
      </c>
      <c r="D34" s="5">
        <f t="shared" si="24"/>
        <v>942.47779607693792</v>
      </c>
      <c r="E34" s="6">
        <f t="shared" si="2"/>
        <v>157</v>
      </c>
      <c r="Y34">
        <f t="shared" ref="Y34" si="30">$E$34</f>
        <v>157</v>
      </c>
      <c r="AA34" s="13">
        <f t="shared" si="6"/>
        <v>25</v>
      </c>
    </row>
    <row r="36" spans="2:31">
      <c r="E36" s="10" t="s">
        <v>40</v>
      </c>
      <c r="F36" s="7">
        <f t="shared" ref="F36:Y36" si="31">SUM(F8:F34)</f>
        <v>152</v>
      </c>
      <c r="G36" s="7">
        <f t="shared" si="31"/>
        <v>195</v>
      </c>
      <c r="H36" s="7">
        <f t="shared" si="31"/>
        <v>244</v>
      </c>
      <c r="I36" s="7">
        <f t="shared" si="31"/>
        <v>300</v>
      </c>
      <c r="J36" s="7">
        <f t="shared" si="31"/>
        <v>362</v>
      </c>
      <c r="K36" s="7">
        <f t="shared" si="31"/>
        <v>430</v>
      </c>
      <c r="L36" s="7">
        <f t="shared" si="31"/>
        <v>504</v>
      </c>
      <c r="M36" s="7">
        <f t="shared" si="31"/>
        <v>585</v>
      </c>
      <c r="N36" s="7">
        <f t="shared" si="31"/>
        <v>672</v>
      </c>
      <c r="O36" s="7">
        <f t="shared" si="31"/>
        <v>765</v>
      </c>
      <c r="P36" s="7">
        <f t="shared" si="31"/>
        <v>865</v>
      </c>
      <c r="Q36" s="7">
        <f t="shared" si="31"/>
        <v>971</v>
      </c>
      <c r="R36" s="7">
        <f t="shared" si="31"/>
        <v>1083</v>
      </c>
      <c r="S36" s="7">
        <f t="shared" si="31"/>
        <v>1201</v>
      </c>
      <c r="T36" s="7">
        <f t="shared" si="31"/>
        <v>1326</v>
      </c>
      <c r="U36" s="7">
        <f t="shared" si="31"/>
        <v>1457</v>
      </c>
      <c r="V36" s="7">
        <f t="shared" si="31"/>
        <v>1594</v>
      </c>
      <c r="W36" s="7">
        <f t="shared" si="31"/>
        <v>1738</v>
      </c>
      <c r="X36" s="7">
        <f t="shared" si="31"/>
        <v>1888</v>
      </c>
      <c r="Y36" s="7">
        <f t="shared" si="31"/>
        <v>2044</v>
      </c>
      <c r="AA36" s="13" t="str">
        <f>E36</f>
        <v># Rockets This Stage</v>
      </c>
      <c r="AE36" t="s">
        <v>44</v>
      </c>
    </row>
    <row r="37" spans="2:31">
      <c r="E37" s="10" t="s">
        <v>41</v>
      </c>
      <c r="F37" s="7">
        <f>F36</f>
        <v>152</v>
      </c>
      <c r="G37" s="7">
        <f t="shared" ref="G37" si="32">F37+G36</f>
        <v>347</v>
      </c>
      <c r="H37" s="7">
        <f t="shared" ref="H37" si="33">G37+H36</f>
        <v>591</v>
      </c>
      <c r="I37" s="7">
        <f t="shared" ref="I37" si="34">H37+I36</f>
        <v>891</v>
      </c>
      <c r="J37" s="7">
        <f t="shared" ref="J37" si="35">I37+J36</f>
        <v>1253</v>
      </c>
      <c r="K37" s="7">
        <f t="shared" ref="K37" si="36">J37+K36</f>
        <v>1683</v>
      </c>
      <c r="L37" s="7">
        <f t="shared" ref="L37" si="37">K37+L36</f>
        <v>2187</v>
      </c>
      <c r="M37" s="7">
        <f t="shared" ref="M37" si="38">L37+M36</f>
        <v>2772</v>
      </c>
      <c r="N37" s="7">
        <f t="shared" ref="N37" si="39">M37+N36</f>
        <v>3444</v>
      </c>
      <c r="O37" s="7">
        <f t="shared" ref="O37" si="40">N37+O36</f>
        <v>4209</v>
      </c>
      <c r="P37" s="7">
        <f t="shared" ref="P37" si="41">O37+P36</f>
        <v>5074</v>
      </c>
      <c r="Q37" s="7">
        <f t="shared" ref="Q37" si="42">P37+Q36</f>
        <v>6045</v>
      </c>
      <c r="R37" s="7">
        <f t="shared" ref="R37" si="43">Q37+R36</f>
        <v>7128</v>
      </c>
      <c r="S37" s="7">
        <f t="shared" ref="S37" si="44">R37+S36</f>
        <v>8329</v>
      </c>
      <c r="T37" s="7">
        <f t="shared" ref="T37" si="45">S37+T36</f>
        <v>9655</v>
      </c>
      <c r="U37" s="7">
        <f t="shared" ref="U37" si="46">T37+U36</f>
        <v>11112</v>
      </c>
      <c r="V37" s="7">
        <f t="shared" ref="V37" si="47">U37+V36</f>
        <v>12706</v>
      </c>
      <c r="W37" s="7">
        <f t="shared" ref="W37" si="48">V37+W36</f>
        <v>14444</v>
      </c>
      <c r="X37" s="7">
        <f t="shared" ref="H37:Y37" si="49">W37+X36</f>
        <v>16332</v>
      </c>
      <c r="Y37" s="7">
        <f t="shared" si="49"/>
        <v>18376</v>
      </c>
      <c r="AA37" s="13" t="s">
        <v>31</v>
      </c>
      <c r="AE37" t="s">
        <v>45</v>
      </c>
    </row>
    <row r="38" spans="2:31">
      <c r="E38" s="51" t="s">
        <v>42</v>
      </c>
      <c r="F38" s="56">
        <f t="shared" ref="F38:Y38" si="50">F36*$D$4</f>
        <v>152</v>
      </c>
      <c r="G38" s="56">
        <f t="shared" si="50"/>
        <v>195</v>
      </c>
      <c r="H38" s="56">
        <f t="shared" si="50"/>
        <v>244</v>
      </c>
      <c r="I38" s="56">
        <f t="shared" si="50"/>
        <v>300</v>
      </c>
      <c r="J38" s="56">
        <f t="shared" si="50"/>
        <v>362</v>
      </c>
      <c r="K38" s="56">
        <f t="shared" si="50"/>
        <v>430</v>
      </c>
      <c r="L38" s="56">
        <f t="shared" si="50"/>
        <v>504</v>
      </c>
      <c r="M38" s="56">
        <f t="shared" si="50"/>
        <v>585</v>
      </c>
      <c r="N38" s="56">
        <f t="shared" si="50"/>
        <v>672</v>
      </c>
      <c r="O38" s="56">
        <f t="shared" si="50"/>
        <v>765</v>
      </c>
      <c r="P38" s="56">
        <f t="shared" si="50"/>
        <v>865</v>
      </c>
      <c r="Q38" s="56">
        <f t="shared" si="50"/>
        <v>971</v>
      </c>
      <c r="R38" s="56">
        <f t="shared" si="50"/>
        <v>1083</v>
      </c>
      <c r="S38" s="56">
        <f t="shared" si="50"/>
        <v>1201</v>
      </c>
      <c r="T38" s="56">
        <f t="shared" si="50"/>
        <v>1326</v>
      </c>
      <c r="U38" s="56">
        <f t="shared" si="50"/>
        <v>1457</v>
      </c>
      <c r="V38" s="56">
        <f t="shared" si="50"/>
        <v>1594</v>
      </c>
      <c r="W38" s="56">
        <f t="shared" si="50"/>
        <v>1738</v>
      </c>
      <c r="X38" s="56">
        <f t="shared" si="50"/>
        <v>1888</v>
      </c>
      <c r="Y38" s="56">
        <f t="shared" si="50"/>
        <v>2044</v>
      </c>
      <c r="AA38" s="53" t="s">
        <v>37</v>
      </c>
      <c r="AB38" s="55"/>
      <c r="AC38" s="55"/>
      <c r="AD38" s="55"/>
      <c r="AE38" s="55" t="s">
        <v>46</v>
      </c>
    </row>
    <row r="39" spans="2:31">
      <c r="E39" s="10" t="s">
        <v>27</v>
      </c>
      <c r="F39">
        <f t="shared" ref="F39:X39" si="51">G39+$N$4</f>
        <v>400</v>
      </c>
      <c r="G39">
        <f t="shared" si="51"/>
        <v>380</v>
      </c>
      <c r="H39">
        <f t="shared" si="51"/>
        <v>360</v>
      </c>
      <c r="I39">
        <f t="shared" si="51"/>
        <v>340</v>
      </c>
      <c r="J39">
        <f t="shared" si="51"/>
        <v>320</v>
      </c>
      <c r="K39">
        <f t="shared" si="51"/>
        <v>300</v>
      </c>
      <c r="L39">
        <f t="shared" si="51"/>
        <v>280</v>
      </c>
      <c r="M39">
        <f t="shared" si="51"/>
        <v>260</v>
      </c>
      <c r="N39">
        <f t="shared" si="51"/>
        <v>240</v>
      </c>
      <c r="O39">
        <f t="shared" si="51"/>
        <v>220</v>
      </c>
      <c r="P39">
        <f t="shared" si="51"/>
        <v>200</v>
      </c>
      <c r="Q39">
        <f t="shared" si="51"/>
        <v>180</v>
      </c>
      <c r="R39">
        <f t="shared" si="51"/>
        <v>160</v>
      </c>
      <c r="S39">
        <f t="shared" si="51"/>
        <v>140</v>
      </c>
      <c r="T39">
        <f t="shared" si="51"/>
        <v>120</v>
      </c>
      <c r="U39">
        <f t="shared" si="51"/>
        <v>100</v>
      </c>
      <c r="V39">
        <f t="shared" si="51"/>
        <v>80</v>
      </c>
      <c r="W39">
        <f t="shared" si="51"/>
        <v>60</v>
      </c>
      <c r="X39">
        <f t="shared" si="51"/>
        <v>40</v>
      </c>
      <c r="Y39">
        <f>Z39+$N$4</f>
        <v>20</v>
      </c>
      <c r="AA39" s="13" t="s">
        <v>27</v>
      </c>
      <c r="AE39" t="s">
        <v>47</v>
      </c>
    </row>
    <row r="40" spans="2:31">
      <c r="E40" s="10" t="s">
        <v>76</v>
      </c>
      <c r="J40">
        <v>4</v>
      </c>
      <c r="K40">
        <v>15</v>
      </c>
      <c r="L40">
        <v>15</v>
      </c>
      <c r="M40">
        <v>15</v>
      </c>
      <c r="N40">
        <v>15</v>
      </c>
      <c r="O40">
        <v>10</v>
      </c>
      <c r="P40">
        <v>10</v>
      </c>
      <c r="Q40">
        <v>5</v>
      </c>
      <c r="AA40" s="13"/>
    </row>
    <row r="41" spans="2:31" s="50" customFormat="1">
      <c r="E41" s="51" t="s">
        <v>62</v>
      </c>
      <c r="F41" s="52">
        <f t="shared" ref="F41:N41" si="52">G41-F40</f>
        <v>1</v>
      </c>
      <c r="G41" s="52">
        <f t="shared" si="52"/>
        <v>1</v>
      </c>
      <c r="H41" s="52">
        <f t="shared" si="52"/>
        <v>1</v>
      </c>
      <c r="I41" s="52">
        <f t="shared" si="52"/>
        <v>1</v>
      </c>
      <c r="J41" s="52">
        <f t="shared" si="52"/>
        <v>1</v>
      </c>
      <c r="K41" s="52">
        <f t="shared" si="52"/>
        <v>5</v>
      </c>
      <c r="L41" s="52">
        <f t="shared" si="52"/>
        <v>20</v>
      </c>
      <c r="M41" s="52">
        <f t="shared" si="52"/>
        <v>35</v>
      </c>
      <c r="N41" s="52">
        <f t="shared" si="52"/>
        <v>50</v>
      </c>
      <c r="O41" s="52">
        <f t="shared" ref="O41:X41" si="53">P41-O40</f>
        <v>65</v>
      </c>
      <c r="P41" s="52">
        <f t="shared" si="53"/>
        <v>75</v>
      </c>
      <c r="Q41" s="52">
        <f t="shared" si="53"/>
        <v>85</v>
      </c>
      <c r="R41" s="52">
        <f t="shared" si="53"/>
        <v>90</v>
      </c>
      <c r="S41" s="52">
        <f t="shared" si="53"/>
        <v>90</v>
      </c>
      <c r="T41" s="52">
        <f t="shared" si="53"/>
        <v>90</v>
      </c>
      <c r="U41" s="52">
        <f t="shared" si="53"/>
        <v>90</v>
      </c>
      <c r="V41" s="52">
        <f t="shared" si="53"/>
        <v>90</v>
      </c>
      <c r="W41" s="52">
        <f t="shared" si="53"/>
        <v>90</v>
      </c>
      <c r="X41" s="52">
        <f t="shared" si="53"/>
        <v>90</v>
      </c>
      <c r="Y41" s="52">
        <v>90</v>
      </c>
      <c r="AA41" s="53" t="str">
        <f>E41</f>
        <v>ICC-1 Inclination - º</v>
      </c>
      <c r="AE41" s="50" t="s">
        <v>48</v>
      </c>
    </row>
    <row r="42" spans="2:31" s="50" customFormat="1" ht="15" thickBot="1"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AA42" s="53"/>
    </row>
    <row r="43" spans="2:31" ht="21.6" thickBot="1">
      <c r="B43" s="26" t="s">
        <v>116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</row>
    <row r="44" spans="2:31" s="50" customFormat="1">
      <c r="D44" s="10"/>
      <c r="E44" s="10" t="s">
        <v>87</v>
      </c>
      <c r="F44" s="7">
        <v>300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AA44" s="13"/>
    </row>
    <row r="45" spans="2:31" s="50" customFormat="1">
      <c r="D45" s="10"/>
      <c r="E45" s="10" t="s">
        <v>88</v>
      </c>
      <c r="F45" s="5">
        <v>4300</v>
      </c>
      <c r="G45" s="52" t="s">
        <v>109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AA45" s="13"/>
    </row>
    <row r="46" spans="2:31" s="50" customFormat="1">
      <c r="D46" s="10"/>
      <c r="E46" s="10" t="s">
        <v>84</v>
      </c>
      <c r="F46" s="7">
        <f>F44/0.68</f>
        <v>441.17647058823525</v>
      </c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AA46" s="13"/>
    </row>
    <row r="47" spans="2:31" s="50" customFormat="1">
      <c r="D47" s="10"/>
      <c r="E47" s="10" t="s">
        <v>90</v>
      </c>
      <c r="F47" s="5">
        <v>36.92</v>
      </c>
      <c r="G47" s="52" t="s">
        <v>109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AA47" s="13"/>
    </row>
    <row r="48" spans="2:31" s="50" customFormat="1">
      <c r="E48" s="10" t="s">
        <v>85</v>
      </c>
      <c r="F48" s="7">
        <f>1000*COS(F47/(180/PI()))</f>
        <v>799.47502357522183</v>
      </c>
      <c r="G48" s="50" t="s">
        <v>86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AA48" s="13"/>
    </row>
    <row r="49" spans="5:27" s="50" customFormat="1">
      <c r="E49" s="10" t="s">
        <v>89</v>
      </c>
      <c r="F49" s="7">
        <f>F48/0.68</f>
        <v>1175.6985640812086</v>
      </c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AA49" s="13"/>
    </row>
    <row r="50" spans="5:27" s="50" customFormat="1">
      <c r="E50" s="10"/>
      <c r="F50" s="7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AA50" s="13"/>
    </row>
    <row r="51" spans="5:27" s="50" customFormat="1">
      <c r="E51" s="10"/>
      <c r="F51" s="7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AA51" s="13"/>
    </row>
    <row r="52" spans="5:27" s="50" customFormat="1">
      <c r="E52" s="10"/>
      <c r="F52" s="7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AA52" s="13"/>
    </row>
    <row r="53" spans="5:27" s="50" customFormat="1">
      <c r="E53" s="10"/>
      <c r="F53" s="7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AA53" s="13"/>
    </row>
    <row r="54" spans="5:27" s="50" customFormat="1">
      <c r="E54" s="10"/>
      <c r="F54" s="7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AA54" s="13"/>
    </row>
    <row r="55" spans="5:27" s="50" customFormat="1">
      <c r="E55" s="10"/>
      <c r="F55" s="7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AA55" s="13"/>
    </row>
    <row r="56" spans="5:27" s="50" customFormat="1">
      <c r="E56" s="10"/>
      <c r="F56" s="7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AA56" s="13"/>
    </row>
    <row r="57" spans="5:27" s="50" customFormat="1">
      <c r="E57" s="10"/>
      <c r="F57" s="7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AA57" s="13"/>
    </row>
    <row r="58" spans="5:27" s="50" customFormat="1">
      <c r="E58" s="10"/>
      <c r="F58" s="7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AA58" s="13"/>
    </row>
    <row r="59" spans="5:27" s="50" customFormat="1">
      <c r="E59" s="10"/>
      <c r="F59" s="7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AA59" s="13"/>
    </row>
    <row r="60" spans="5:27" s="50" customFormat="1">
      <c r="E60" s="10"/>
      <c r="F60" s="7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AA60" s="13"/>
    </row>
    <row r="61" spans="5:27" s="50" customFormat="1">
      <c r="E61" s="10"/>
      <c r="F61" s="7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AA61" s="13"/>
    </row>
    <row r="62" spans="5:27" s="50" customFormat="1">
      <c r="E62" s="10"/>
      <c r="F62" s="7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AA62" s="13"/>
    </row>
    <row r="63" spans="5:27" s="50" customFormat="1">
      <c r="E63" s="10"/>
      <c r="F63" s="7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AA63" s="13"/>
    </row>
    <row r="64" spans="5:27" s="50" customFormat="1">
      <c r="E64" s="10"/>
      <c r="F64" s="7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AA64" s="13"/>
    </row>
    <row r="65" spans="5:27" s="50" customFormat="1">
      <c r="E65" s="10"/>
      <c r="F65" s="7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AA65" s="13"/>
    </row>
    <row r="66" spans="5:27" s="50" customFormat="1">
      <c r="E66" s="10"/>
      <c r="F66" s="7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AA66" s="13"/>
    </row>
    <row r="67" spans="5:27" s="50" customFormat="1">
      <c r="E67" s="10"/>
      <c r="F67" s="7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AA67" s="13"/>
    </row>
    <row r="68" spans="5:27" s="50" customFormat="1">
      <c r="E68" s="10"/>
      <c r="F68" s="7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AA68" s="13"/>
    </row>
    <row r="69" spans="5:27" s="50" customFormat="1">
      <c r="E69" s="10"/>
      <c r="F69" s="7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AA69" s="13"/>
    </row>
    <row r="70" spans="5:27" s="50" customFormat="1">
      <c r="E70" s="10"/>
      <c r="F70" s="7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AA70" s="13"/>
    </row>
    <row r="71" spans="5:27" s="50" customFormat="1">
      <c r="E71" s="10"/>
      <c r="F71" s="7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AA71" s="13"/>
    </row>
    <row r="72" spans="5:27" s="50" customFormat="1">
      <c r="E72" s="10"/>
      <c r="F72" s="7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AA72" s="13"/>
    </row>
    <row r="73" spans="5:27" s="50" customFormat="1">
      <c r="E73" s="10"/>
      <c r="F73" s="7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AA73" s="13"/>
    </row>
    <row r="74" spans="5:27" s="50" customFormat="1">
      <c r="E74" s="10"/>
      <c r="F74" s="7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AA74" s="13"/>
    </row>
    <row r="75" spans="5:27" s="50" customFormat="1">
      <c r="E75" s="10"/>
      <c r="F75" s="7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AA75" s="13"/>
    </row>
    <row r="76" spans="5:27" s="50" customFormat="1">
      <c r="E76" s="10"/>
      <c r="F76" s="7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AA76" s="13"/>
    </row>
    <row r="77" spans="5:27" s="50" customFormat="1">
      <c r="E77" s="10"/>
      <c r="F77" s="7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AA77" s="13"/>
    </row>
    <row r="78" spans="5:27" s="50" customFormat="1">
      <c r="E78" s="10"/>
      <c r="F78" s="7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AA78" s="13"/>
    </row>
    <row r="79" spans="5:27" s="50" customFormat="1">
      <c r="E79" s="10"/>
      <c r="F79" s="7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AA79" s="13"/>
    </row>
    <row r="80" spans="5:27" s="50" customFormat="1">
      <c r="E80" s="10"/>
      <c r="F80" s="7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AA80" s="13"/>
    </row>
    <row r="81" spans="5:27" s="50" customFormat="1">
      <c r="E81" s="10"/>
      <c r="F81" s="7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AA81" s="13"/>
    </row>
    <row r="82" spans="5:27" s="50" customFormat="1">
      <c r="E82" s="10"/>
      <c r="F82" s="7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AA82" s="13"/>
    </row>
    <row r="83" spans="5:27" s="50" customFormat="1">
      <c r="E83" s="10"/>
      <c r="F83" s="7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AA83" s="13"/>
    </row>
    <row r="84" spans="5:27" s="50" customFormat="1">
      <c r="E84" s="10"/>
      <c r="F84" s="7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AA84" s="13"/>
    </row>
    <row r="85" spans="5:27" s="50" customFormat="1">
      <c r="E85" s="10"/>
      <c r="F85" s="7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AA85" s="13"/>
    </row>
    <row r="86" spans="5:27" s="50" customFormat="1">
      <c r="E86" s="10"/>
      <c r="F86" s="7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AA86" s="13"/>
    </row>
    <row r="87" spans="5:27" s="50" customFormat="1">
      <c r="E87" s="10"/>
      <c r="F87" s="7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AA87" s="13"/>
    </row>
    <row r="88" spans="5:27" s="50" customFormat="1">
      <c r="E88" s="10"/>
      <c r="F88" s="7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AA88" s="13"/>
    </row>
    <row r="89" spans="5:27" s="50" customFormat="1">
      <c r="E89" s="10"/>
      <c r="F89" s="7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AA89" s="13"/>
    </row>
    <row r="90" spans="5:27" s="50" customFormat="1">
      <c r="E90" s="10"/>
      <c r="F90" s="7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AA90" s="13"/>
    </row>
    <row r="91" spans="5:27" s="50" customFormat="1">
      <c r="E91" s="10"/>
      <c r="F91" s="7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AA91" s="13"/>
    </row>
    <row r="92" spans="5:27" s="50" customFormat="1">
      <c r="E92" s="10"/>
      <c r="F92" s="7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AA92" s="13"/>
    </row>
    <row r="93" spans="5:27" s="50" customFormat="1">
      <c r="E93" s="10"/>
      <c r="F93" s="7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AA93" s="13"/>
    </row>
    <row r="94" spans="5:27" s="50" customFormat="1">
      <c r="E94" s="10"/>
      <c r="F94" s="7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AA94" s="13"/>
    </row>
    <row r="95" spans="5:27" s="50" customFormat="1">
      <c r="E95" s="10"/>
      <c r="F95" s="7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AA95" s="13"/>
    </row>
    <row r="96" spans="5:27" s="50" customFormat="1">
      <c r="E96" s="10"/>
      <c r="F96" s="7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AA96" s="13"/>
    </row>
    <row r="97" spans="2:27" s="50" customFormat="1">
      <c r="E97" s="10"/>
      <c r="F97" s="7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AA97" s="13"/>
    </row>
    <row r="98" spans="2:27" s="50" customFormat="1">
      <c r="E98" s="10"/>
      <c r="F98" s="7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AA98" s="13"/>
    </row>
    <row r="99" spans="2:27" s="50" customFormat="1">
      <c r="E99" s="10"/>
      <c r="F99" s="7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AA99" s="13"/>
    </row>
    <row r="100" spans="2:27" s="50" customFormat="1">
      <c r="E100" s="10"/>
      <c r="F100" s="7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AA100" s="13"/>
    </row>
    <row r="101" spans="2:27" s="50" customFormat="1">
      <c r="E101" s="10"/>
      <c r="F101" s="7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AA101" s="13"/>
    </row>
    <row r="102" spans="2:27" s="50" customFormat="1">
      <c r="E102" s="10"/>
      <c r="F102" s="7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AA102" s="13"/>
    </row>
    <row r="103" spans="2:27" s="50" customFormat="1">
      <c r="E103" s="10"/>
      <c r="F103" s="7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AA103" s="13"/>
    </row>
    <row r="104" spans="2:27" s="50" customFormat="1">
      <c r="E104" s="10"/>
      <c r="F104" s="7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AA104" s="13"/>
    </row>
    <row r="105" spans="2:27" s="50" customFormat="1">
      <c r="E105" s="10"/>
      <c r="F105" s="7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AA105" s="13"/>
    </row>
    <row r="106" spans="2:27" s="50" customFormat="1">
      <c r="E106" s="10"/>
      <c r="F106" s="7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AA106" s="13"/>
    </row>
    <row r="107" spans="2:27" ht="15" thickBot="1">
      <c r="E107" s="10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AA107" s="13"/>
    </row>
    <row r="108" spans="2:27" ht="21.6" thickBot="1">
      <c r="B108" s="26" t="s">
        <v>98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8"/>
    </row>
    <row r="109" spans="2:27">
      <c r="E109" s="10" t="s">
        <v>117</v>
      </c>
      <c r="F109" s="12">
        <f t="shared" ref="F109:X109" si="54">F37*$Q$4/1000</f>
        <v>12.16</v>
      </c>
      <c r="G109" s="12">
        <f t="shared" si="54"/>
        <v>27.76</v>
      </c>
      <c r="H109" s="12">
        <f t="shared" si="54"/>
        <v>47.28</v>
      </c>
      <c r="I109" s="12">
        <f t="shared" si="54"/>
        <v>71.28</v>
      </c>
      <c r="J109" s="12">
        <f t="shared" si="54"/>
        <v>100.24</v>
      </c>
      <c r="K109" s="12">
        <f t="shared" si="54"/>
        <v>134.63999999999999</v>
      </c>
      <c r="L109" s="12">
        <f t="shared" si="54"/>
        <v>174.96</v>
      </c>
      <c r="M109" s="12">
        <f t="shared" si="54"/>
        <v>221.76</v>
      </c>
      <c r="N109" s="12">
        <f t="shared" si="54"/>
        <v>275.52</v>
      </c>
      <c r="O109" s="12">
        <f t="shared" si="54"/>
        <v>336.72</v>
      </c>
      <c r="P109" s="12">
        <f t="shared" si="54"/>
        <v>405.92</v>
      </c>
      <c r="Q109" s="12">
        <f t="shared" si="54"/>
        <v>483.6</v>
      </c>
      <c r="R109" s="12">
        <f t="shared" si="54"/>
        <v>570.24</v>
      </c>
      <c r="S109" s="12">
        <f t="shared" si="54"/>
        <v>666.32</v>
      </c>
      <c r="T109" s="12">
        <f t="shared" si="54"/>
        <v>772.4</v>
      </c>
      <c r="U109" s="12">
        <f t="shared" si="54"/>
        <v>888.96</v>
      </c>
      <c r="V109" s="12">
        <f t="shared" si="54"/>
        <v>1016.48</v>
      </c>
      <c r="W109" s="12">
        <f t="shared" si="54"/>
        <v>1155.52</v>
      </c>
      <c r="X109" s="12">
        <f t="shared" si="54"/>
        <v>1306.56</v>
      </c>
      <c r="Y109" s="12">
        <f>Y37*$Q$4/1000</f>
        <v>1470.08</v>
      </c>
      <c r="AA109" s="13" t="str">
        <f t="shared" ref="AA109:AA116" si="55">E109</f>
        <v xml:space="preserve">ICC-1 Rocket Wt. @ Start Stage - K </v>
      </c>
    </row>
    <row r="110" spans="2:27">
      <c r="E110" s="10" t="s">
        <v>50</v>
      </c>
      <c r="F110" s="12">
        <f>$J$3</f>
        <v>20</v>
      </c>
      <c r="G110" s="12">
        <f t="shared" ref="G110:Y110" si="56">$J$3</f>
        <v>20</v>
      </c>
      <c r="H110" s="12">
        <f t="shared" si="56"/>
        <v>20</v>
      </c>
      <c r="I110" s="12">
        <f t="shared" si="56"/>
        <v>20</v>
      </c>
      <c r="J110" s="12">
        <f t="shared" si="56"/>
        <v>20</v>
      </c>
      <c r="K110" s="12">
        <f t="shared" si="56"/>
        <v>20</v>
      </c>
      <c r="L110" s="12">
        <f t="shared" si="56"/>
        <v>20</v>
      </c>
      <c r="M110" s="12">
        <f t="shared" si="56"/>
        <v>20</v>
      </c>
      <c r="N110" s="12">
        <f t="shared" si="56"/>
        <v>20</v>
      </c>
      <c r="O110" s="12">
        <f t="shared" si="56"/>
        <v>20</v>
      </c>
      <c r="P110" s="12">
        <f t="shared" si="56"/>
        <v>20</v>
      </c>
      <c r="Q110" s="12">
        <f t="shared" si="56"/>
        <v>20</v>
      </c>
      <c r="R110" s="12">
        <f t="shared" si="56"/>
        <v>20</v>
      </c>
      <c r="S110" s="12">
        <f t="shared" si="56"/>
        <v>20</v>
      </c>
      <c r="T110" s="12">
        <f t="shared" si="56"/>
        <v>20</v>
      </c>
      <c r="U110" s="12">
        <f t="shared" si="56"/>
        <v>20</v>
      </c>
      <c r="V110" s="12">
        <f t="shared" si="56"/>
        <v>20</v>
      </c>
      <c r="W110" s="12">
        <f t="shared" si="56"/>
        <v>20</v>
      </c>
      <c r="X110" s="12">
        <f t="shared" si="56"/>
        <v>20</v>
      </c>
      <c r="Y110" s="12">
        <f t="shared" si="56"/>
        <v>20</v>
      </c>
      <c r="AA110" s="13" t="str">
        <f>E110</f>
        <v>Payload - K</v>
      </c>
    </row>
    <row r="111" spans="2:27">
      <c r="E111" s="10" t="s">
        <v>113</v>
      </c>
      <c r="F111" s="12">
        <f>F109+F110</f>
        <v>32.159999999999997</v>
      </c>
      <c r="G111" s="12">
        <f>G109+G110</f>
        <v>47.760000000000005</v>
      </c>
      <c r="H111" s="12">
        <f>H109+H110</f>
        <v>67.28</v>
      </c>
      <c r="I111" s="12">
        <f>I109+I110</f>
        <v>91.28</v>
      </c>
      <c r="J111" s="12">
        <f>J109+J110</f>
        <v>120.24</v>
      </c>
      <c r="K111" s="12">
        <f>K109+K110</f>
        <v>154.63999999999999</v>
      </c>
      <c r="L111" s="12">
        <f>L109+L110</f>
        <v>194.96</v>
      </c>
      <c r="M111" s="12">
        <f>M109+M110</f>
        <v>241.76</v>
      </c>
      <c r="N111" s="12">
        <f>N109+N110</f>
        <v>295.52</v>
      </c>
      <c r="O111" s="12">
        <f>O109+O110</f>
        <v>356.72</v>
      </c>
      <c r="P111" s="12">
        <f>P109+P110</f>
        <v>425.92</v>
      </c>
      <c r="Q111" s="12">
        <f>Q109+Q110</f>
        <v>503.6</v>
      </c>
      <c r="R111" s="12">
        <f>R109+R110</f>
        <v>590.24</v>
      </c>
      <c r="S111" s="12">
        <f>S109+S110</f>
        <v>686.32</v>
      </c>
      <c r="T111" s="12">
        <f>T109+T110</f>
        <v>792.4</v>
      </c>
      <c r="U111" s="12">
        <f>U109+U110</f>
        <v>908.96</v>
      </c>
      <c r="V111" s="12">
        <f>V109+V110</f>
        <v>1036.48</v>
      </c>
      <c r="W111" s="12">
        <f>W109+W110</f>
        <v>1175.52</v>
      </c>
      <c r="X111" s="12">
        <f>X109+X110</f>
        <v>1326.56</v>
      </c>
      <c r="Y111" s="12">
        <f>Y109+Y110</f>
        <v>1490.08</v>
      </c>
      <c r="AA111" s="13" t="str">
        <f t="shared" si="55"/>
        <v>Launch Vehicle Wt. K  - Start of Stage</v>
      </c>
    </row>
    <row r="112" spans="2:27">
      <c r="E112" s="10" t="s">
        <v>49</v>
      </c>
      <c r="F112" s="11">
        <f t="shared" ref="F112:Y112" si="57">F36*($Q$4-$T$4)/1000</f>
        <v>7.6</v>
      </c>
      <c r="G112" s="11">
        <f t="shared" si="57"/>
        <v>9.75</v>
      </c>
      <c r="H112" s="11">
        <f t="shared" si="57"/>
        <v>12.2</v>
      </c>
      <c r="I112" s="11">
        <f t="shared" si="57"/>
        <v>15</v>
      </c>
      <c r="J112" s="11">
        <f t="shared" si="57"/>
        <v>18.100000000000001</v>
      </c>
      <c r="K112" s="11">
        <f t="shared" si="57"/>
        <v>21.5</v>
      </c>
      <c r="L112" s="11">
        <f t="shared" si="57"/>
        <v>25.2</v>
      </c>
      <c r="M112" s="11">
        <f t="shared" si="57"/>
        <v>29.25</v>
      </c>
      <c r="N112" s="11">
        <f t="shared" si="57"/>
        <v>33.6</v>
      </c>
      <c r="O112" s="11">
        <f t="shared" si="57"/>
        <v>38.25</v>
      </c>
      <c r="P112" s="11">
        <f t="shared" si="57"/>
        <v>43.25</v>
      </c>
      <c r="Q112" s="11">
        <f t="shared" si="57"/>
        <v>48.55</v>
      </c>
      <c r="R112" s="11">
        <f t="shared" si="57"/>
        <v>54.15</v>
      </c>
      <c r="S112" s="11">
        <f t="shared" si="57"/>
        <v>60.05</v>
      </c>
      <c r="T112" s="11">
        <f t="shared" si="57"/>
        <v>66.3</v>
      </c>
      <c r="U112" s="11">
        <f t="shared" si="57"/>
        <v>72.849999999999994</v>
      </c>
      <c r="V112" s="11">
        <f t="shared" si="57"/>
        <v>79.7</v>
      </c>
      <c r="W112" s="11">
        <f t="shared" si="57"/>
        <v>86.9</v>
      </c>
      <c r="X112" s="11">
        <f t="shared" si="57"/>
        <v>94.4</v>
      </c>
      <c r="Y112" s="11">
        <f t="shared" si="57"/>
        <v>102.2</v>
      </c>
      <c r="AA112" s="13" t="str">
        <f t="shared" si="55"/>
        <v>Fuel Burn This Stage - K</v>
      </c>
    </row>
    <row r="113" spans="2:33">
      <c r="E113" s="10" t="s">
        <v>114</v>
      </c>
      <c r="F113" s="12">
        <f t="shared" ref="F113:X113" si="58">F109-F112/2</f>
        <v>8.36</v>
      </c>
      <c r="G113" s="12">
        <f t="shared" si="58"/>
        <v>22.885000000000002</v>
      </c>
      <c r="H113" s="12">
        <f t="shared" si="58"/>
        <v>41.18</v>
      </c>
      <c r="I113" s="12">
        <f t="shared" si="58"/>
        <v>63.78</v>
      </c>
      <c r="J113" s="12">
        <f t="shared" si="58"/>
        <v>91.19</v>
      </c>
      <c r="K113" s="12">
        <f t="shared" si="58"/>
        <v>123.88999999999999</v>
      </c>
      <c r="L113" s="12">
        <f t="shared" si="58"/>
        <v>162.36000000000001</v>
      </c>
      <c r="M113" s="12">
        <f t="shared" si="58"/>
        <v>207.13499999999999</v>
      </c>
      <c r="N113" s="12">
        <f t="shared" si="58"/>
        <v>258.71999999999997</v>
      </c>
      <c r="O113" s="12">
        <f t="shared" si="58"/>
        <v>317.59500000000003</v>
      </c>
      <c r="P113" s="12">
        <f t="shared" si="58"/>
        <v>384.29500000000002</v>
      </c>
      <c r="Q113" s="12">
        <f t="shared" si="58"/>
        <v>459.32500000000005</v>
      </c>
      <c r="R113" s="12">
        <f t="shared" si="58"/>
        <v>543.16499999999996</v>
      </c>
      <c r="S113" s="12">
        <f t="shared" si="58"/>
        <v>636.29500000000007</v>
      </c>
      <c r="T113" s="12">
        <f t="shared" si="58"/>
        <v>739.25</v>
      </c>
      <c r="U113" s="12">
        <f t="shared" si="58"/>
        <v>852.53500000000008</v>
      </c>
      <c r="V113" s="12">
        <f t="shared" si="58"/>
        <v>976.63</v>
      </c>
      <c r="W113" s="12">
        <f t="shared" si="58"/>
        <v>1112.07</v>
      </c>
      <c r="X113" s="12">
        <f t="shared" si="58"/>
        <v>1259.3599999999999</v>
      </c>
      <c r="Y113" s="12">
        <f>Y109-Y112/2</f>
        <v>1418.98</v>
      </c>
      <c r="AA113" s="13" t="str">
        <f t="shared" si="55"/>
        <v>Average ICC-1 Rocket Wt  This Stage  - K</v>
      </c>
    </row>
    <row r="114" spans="2:33">
      <c r="E114" s="51" t="s">
        <v>51</v>
      </c>
      <c r="F114" s="54">
        <f>F113+F110</f>
        <v>28.36</v>
      </c>
      <c r="G114" s="54">
        <f>G113+G110</f>
        <v>42.885000000000005</v>
      </c>
      <c r="H114" s="54">
        <f>H113+H110</f>
        <v>61.18</v>
      </c>
      <c r="I114" s="54">
        <f>I113+I110</f>
        <v>83.78</v>
      </c>
      <c r="J114" s="54">
        <f>J113+J110</f>
        <v>111.19</v>
      </c>
      <c r="K114" s="54">
        <f>K113+K110</f>
        <v>143.88999999999999</v>
      </c>
      <c r="L114" s="54">
        <f>L113+L110</f>
        <v>182.36</v>
      </c>
      <c r="M114" s="54">
        <f>M113+M110</f>
        <v>227.13499999999999</v>
      </c>
      <c r="N114" s="54">
        <f>N113+N110</f>
        <v>278.71999999999997</v>
      </c>
      <c r="O114" s="54">
        <f>O113+O110</f>
        <v>337.59500000000003</v>
      </c>
      <c r="P114" s="54">
        <f>P113+P110</f>
        <v>404.29500000000002</v>
      </c>
      <c r="Q114" s="54">
        <f>Q113+Q110</f>
        <v>479.32500000000005</v>
      </c>
      <c r="R114" s="54">
        <f>R113+R110</f>
        <v>563.16499999999996</v>
      </c>
      <c r="S114" s="54">
        <f>S113+S110</f>
        <v>656.29500000000007</v>
      </c>
      <c r="T114" s="54">
        <f>T113+T110</f>
        <v>759.25</v>
      </c>
      <c r="U114" s="54">
        <f>U113+U110</f>
        <v>872.53500000000008</v>
      </c>
      <c r="V114" s="54">
        <f>V113+V110</f>
        <v>996.63</v>
      </c>
      <c r="W114" s="54">
        <f>W113+W110</f>
        <v>1132.07</v>
      </c>
      <c r="X114" s="54">
        <f>X113+X110</f>
        <v>1279.3599999999999</v>
      </c>
      <c r="Y114" s="54">
        <f>Y113+Y110</f>
        <v>1438.98</v>
      </c>
      <c r="Z114" s="55"/>
      <c r="AA114" s="53" t="str">
        <f t="shared" si="55"/>
        <v>Average ICC-1 Stage Weight  - K</v>
      </c>
    </row>
    <row r="115" spans="2:33">
      <c r="E115" s="10" t="s">
        <v>16</v>
      </c>
      <c r="F115" s="12">
        <f>(C15+$G$4)/12</f>
        <v>6.5</v>
      </c>
      <c r="G115" s="12">
        <f>F115+(2*$G$4)/12</f>
        <v>7.5</v>
      </c>
      <c r="H115" s="12">
        <f t="shared" ref="H115:Y115" si="59">G115+(2*$G$4)/12</f>
        <v>8.5</v>
      </c>
      <c r="I115" s="12">
        <f t="shared" si="59"/>
        <v>9.5</v>
      </c>
      <c r="J115" s="12">
        <f t="shared" si="59"/>
        <v>10.5</v>
      </c>
      <c r="K115" s="12">
        <f t="shared" si="59"/>
        <v>11.5</v>
      </c>
      <c r="L115" s="12">
        <f t="shared" si="59"/>
        <v>12.5</v>
      </c>
      <c r="M115" s="12">
        <f t="shared" si="59"/>
        <v>13.5</v>
      </c>
      <c r="N115" s="12">
        <f t="shared" si="59"/>
        <v>14.5</v>
      </c>
      <c r="O115" s="12">
        <f t="shared" si="59"/>
        <v>15.5</v>
      </c>
      <c r="P115" s="12">
        <f t="shared" si="59"/>
        <v>16.5</v>
      </c>
      <c r="Q115" s="12">
        <f t="shared" si="59"/>
        <v>17.5</v>
      </c>
      <c r="R115" s="12">
        <f t="shared" si="59"/>
        <v>18.5</v>
      </c>
      <c r="S115" s="12">
        <f t="shared" si="59"/>
        <v>19.5</v>
      </c>
      <c r="T115" s="12">
        <f t="shared" si="59"/>
        <v>20.5</v>
      </c>
      <c r="U115" s="12">
        <f t="shared" si="59"/>
        <v>21.5</v>
      </c>
      <c r="V115" s="12">
        <f t="shared" si="59"/>
        <v>22.5</v>
      </c>
      <c r="W115" s="12">
        <f t="shared" si="59"/>
        <v>23.5</v>
      </c>
      <c r="X115" s="12">
        <f t="shared" si="59"/>
        <v>24.5</v>
      </c>
      <c r="Y115" s="12">
        <f t="shared" si="59"/>
        <v>25.5</v>
      </c>
      <c r="AA115" s="13" t="str">
        <f t="shared" si="55"/>
        <v>ICC-1 Diameter, Ft</v>
      </c>
    </row>
    <row r="116" spans="2:33">
      <c r="E116" s="10" t="s">
        <v>6</v>
      </c>
      <c r="F116" s="8">
        <f>PI()*(F115/2)^2</f>
        <v>33.183072403542191</v>
      </c>
      <c r="G116" s="8">
        <f>PI()*(G115/2)^2</f>
        <v>44.178646691106465</v>
      </c>
      <c r="H116" s="8">
        <f t="shared" ref="H116:Y116" si="60">PI()*(H115/2)^2</f>
        <v>56.745017305465637</v>
      </c>
      <c r="I116" s="8">
        <f t="shared" si="60"/>
        <v>70.882184246619701</v>
      </c>
      <c r="J116" s="8">
        <f t="shared" si="60"/>
        <v>86.59014751456867</v>
      </c>
      <c r="K116" s="8">
        <f t="shared" si="60"/>
        <v>103.86890710931253</v>
      </c>
      <c r="L116" s="8">
        <f t="shared" si="60"/>
        <v>122.7184630308513</v>
      </c>
      <c r="M116" s="8">
        <f t="shared" si="60"/>
        <v>143.13881527918494</v>
      </c>
      <c r="N116" s="8">
        <f t="shared" si="60"/>
        <v>165.1299638543135</v>
      </c>
      <c r="O116" s="8">
        <f t="shared" si="60"/>
        <v>188.69190875623696</v>
      </c>
      <c r="P116" s="8">
        <f t="shared" si="60"/>
        <v>213.8246499849553</v>
      </c>
      <c r="Q116" s="8">
        <f t="shared" si="60"/>
        <v>240.52818754046854</v>
      </c>
      <c r="R116" s="8">
        <f t="shared" si="60"/>
        <v>268.80252142277669</v>
      </c>
      <c r="S116" s="8">
        <f t="shared" si="60"/>
        <v>298.64765163187968</v>
      </c>
      <c r="T116" s="8">
        <f t="shared" si="60"/>
        <v>330.06357816777762</v>
      </c>
      <c r="U116" s="8">
        <f t="shared" si="60"/>
        <v>363.05030103047045</v>
      </c>
      <c r="V116" s="8">
        <f t="shared" si="60"/>
        <v>397.60782021995817</v>
      </c>
      <c r="W116" s="8">
        <f t="shared" si="60"/>
        <v>433.73613573624084</v>
      </c>
      <c r="X116" s="8">
        <f t="shared" si="60"/>
        <v>471.43524757931834</v>
      </c>
      <c r="Y116" s="8">
        <f t="shared" si="60"/>
        <v>510.70515574919074</v>
      </c>
      <c r="AA116" s="13" t="str">
        <f t="shared" si="55"/>
        <v>ICC-1 Area - SF</v>
      </c>
      <c r="AG116" s="8"/>
    </row>
    <row r="117" spans="2:33" ht="15" thickBot="1">
      <c r="E117" s="10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AA117" s="13"/>
    </row>
    <row r="118" spans="2:33" ht="21.6" thickBot="1">
      <c r="B118" s="26" t="s">
        <v>55</v>
      </c>
      <c r="C118" s="27"/>
      <c r="D118" s="27"/>
      <c r="E118" s="2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1"/>
      <c r="AA118" s="13"/>
    </row>
    <row r="119" spans="2:33">
      <c r="E119" s="10" t="s">
        <v>91</v>
      </c>
      <c r="F119" s="1">
        <f t="shared" ref="F119:W119" si="61">G119+1</f>
        <v>20</v>
      </c>
      <c r="G119" s="1">
        <f t="shared" si="61"/>
        <v>19</v>
      </c>
      <c r="H119" s="1">
        <f t="shared" si="61"/>
        <v>18</v>
      </c>
      <c r="I119" s="1">
        <f t="shared" si="61"/>
        <v>17</v>
      </c>
      <c r="J119" s="1">
        <f t="shared" si="61"/>
        <v>16</v>
      </c>
      <c r="K119" s="1">
        <f t="shared" si="61"/>
        <v>15</v>
      </c>
      <c r="L119" s="1">
        <f t="shared" si="61"/>
        <v>14</v>
      </c>
      <c r="M119" s="1">
        <f t="shared" si="61"/>
        <v>13</v>
      </c>
      <c r="N119" s="1">
        <f t="shared" si="61"/>
        <v>12</v>
      </c>
      <c r="O119" s="1">
        <f t="shared" si="61"/>
        <v>11</v>
      </c>
      <c r="P119" s="1">
        <f t="shared" si="61"/>
        <v>10</v>
      </c>
      <c r="Q119" s="1">
        <f t="shared" si="61"/>
        <v>9</v>
      </c>
      <c r="R119" s="1">
        <f t="shared" si="61"/>
        <v>8</v>
      </c>
      <c r="S119" s="1">
        <f t="shared" si="61"/>
        <v>7</v>
      </c>
      <c r="T119" s="1">
        <f t="shared" si="61"/>
        <v>6</v>
      </c>
      <c r="U119" s="1">
        <f t="shared" si="61"/>
        <v>5</v>
      </c>
      <c r="V119" s="1">
        <f t="shared" si="61"/>
        <v>4</v>
      </c>
      <c r="W119" s="1">
        <f t="shared" si="61"/>
        <v>3</v>
      </c>
      <c r="X119" s="1">
        <f>Y119+1</f>
        <v>2</v>
      </c>
      <c r="Y119">
        <f>$Y$8</f>
        <v>1</v>
      </c>
      <c r="AA119" s="13" t="str">
        <f>E119</f>
        <v>Stage</v>
      </c>
    </row>
    <row r="120" spans="2:33" ht="15" customHeight="1">
      <c r="B120" s="32"/>
      <c r="C120" s="33"/>
      <c r="D120" s="33"/>
      <c r="E120" s="10" t="s">
        <v>61</v>
      </c>
      <c r="F120" s="8">
        <f t="shared" ref="F120:X120" si="62">F38*SIN((F41/(180/PI())))</f>
        <v>2.6527657784670939</v>
      </c>
      <c r="G120" s="8">
        <f t="shared" si="62"/>
        <v>3.4032192552702849</v>
      </c>
      <c r="H120" s="8">
        <f t="shared" si="62"/>
        <v>4.2583871706971772</v>
      </c>
      <c r="I120" s="8">
        <f t="shared" si="62"/>
        <v>5.2357219311850534</v>
      </c>
      <c r="J120" s="8">
        <f t="shared" si="62"/>
        <v>6.3177711302966308</v>
      </c>
      <c r="K120" s="8">
        <f t="shared" ref="K120:U120" si="63">K38*SIN((K41/(180/PI())))</f>
        <v>37.476969381493014</v>
      </c>
      <c r="L120" s="8">
        <f t="shared" si="63"/>
        <v>172.37815223613703</v>
      </c>
      <c r="M120" s="8">
        <f t="shared" si="63"/>
        <v>335.54221526536196</v>
      </c>
      <c r="N120" s="8">
        <f t="shared" si="63"/>
        <v>514.78186577595318</v>
      </c>
      <c r="O120" s="8">
        <f t="shared" si="63"/>
        <v>693.32545708303724</v>
      </c>
      <c r="P120" s="8">
        <f t="shared" si="63"/>
        <v>835.52583974004403</v>
      </c>
      <c r="Q120" s="8">
        <f t="shared" si="63"/>
        <v>967.30505184708488</v>
      </c>
      <c r="R120" s="8">
        <f t="shared" si="63"/>
        <v>1083</v>
      </c>
      <c r="S120" s="8">
        <f t="shared" si="63"/>
        <v>1201</v>
      </c>
      <c r="T120" s="8">
        <f t="shared" si="63"/>
        <v>1326</v>
      </c>
      <c r="U120" s="8">
        <f t="shared" si="63"/>
        <v>1457</v>
      </c>
      <c r="V120" s="8">
        <f t="shared" si="62"/>
        <v>1594</v>
      </c>
      <c r="W120" s="8">
        <f t="shared" si="62"/>
        <v>1738</v>
      </c>
      <c r="X120" s="8">
        <f t="shared" si="62"/>
        <v>1888</v>
      </c>
      <c r="Y120" s="8">
        <f>Y38*SIN((Y41/(180/PI())))</f>
        <v>2044</v>
      </c>
      <c r="AA120" s="13" t="str">
        <f>E120</f>
        <v>Axial Thrust Y - K</v>
      </c>
      <c r="AE120" t="s">
        <v>92</v>
      </c>
    </row>
    <row r="121" spans="2:33" ht="15" customHeight="1">
      <c r="B121" s="32"/>
      <c r="C121" s="33"/>
      <c r="D121" s="33"/>
      <c r="E121" s="10" t="s">
        <v>38</v>
      </c>
      <c r="F121" s="8">
        <f t="shared" ref="F121:X121" si="64">F120-F$113</f>
        <v>-5.7072342215329055</v>
      </c>
      <c r="G121" s="8">
        <f t="shared" si="64"/>
        <v>-19.481780744729718</v>
      </c>
      <c r="H121" s="8">
        <f t="shared" si="64"/>
        <v>-36.921612829302823</v>
      </c>
      <c r="I121" s="8">
        <f t="shared" si="64"/>
        <v>-58.544278068814947</v>
      </c>
      <c r="J121" s="8">
        <f t="shared" si="64"/>
        <v>-84.872228869703363</v>
      </c>
      <c r="K121" s="8">
        <f t="shared" si="64"/>
        <v>-86.41303061850698</v>
      </c>
      <c r="L121" s="8">
        <f t="shared" si="64"/>
        <v>10.018152236137013</v>
      </c>
      <c r="M121" s="8">
        <f t="shared" si="64"/>
        <v>128.40721526536197</v>
      </c>
      <c r="N121" s="8">
        <f t="shared" si="64"/>
        <v>256.06186577595321</v>
      </c>
      <c r="O121" s="8">
        <f t="shared" si="64"/>
        <v>375.73045708303721</v>
      </c>
      <c r="P121" s="8">
        <f t="shared" si="64"/>
        <v>451.23083974004402</v>
      </c>
      <c r="Q121" s="8">
        <f t="shared" si="64"/>
        <v>507.98005184708484</v>
      </c>
      <c r="R121" s="8">
        <f t="shared" si="64"/>
        <v>539.83500000000004</v>
      </c>
      <c r="S121" s="8">
        <f t="shared" si="64"/>
        <v>564.70499999999993</v>
      </c>
      <c r="T121" s="8">
        <f t="shared" si="64"/>
        <v>586.75</v>
      </c>
      <c r="U121" s="8">
        <f t="shared" si="64"/>
        <v>604.46499999999992</v>
      </c>
      <c r="V121" s="8">
        <f t="shared" si="64"/>
        <v>617.37</v>
      </c>
      <c r="W121" s="8">
        <f t="shared" si="64"/>
        <v>625.93000000000006</v>
      </c>
      <c r="X121" s="8">
        <f t="shared" si="64"/>
        <v>628.6400000000001</v>
      </c>
      <c r="Y121" s="8">
        <f>Y120-Y$113</f>
        <v>625.02</v>
      </c>
      <c r="AA121" s="13" t="str">
        <f t="shared" ref="AA121:AA129" si="65">E121</f>
        <v>Net Axial Thrust Y - K</v>
      </c>
      <c r="AE121" t="s">
        <v>63</v>
      </c>
    </row>
    <row r="122" spans="2:33" ht="15" customHeight="1">
      <c r="B122" s="32"/>
      <c r="C122" s="33"/>
      <c r="D122" s="33"/>
      <c r="E122" s="10" t="s">
        <v>36</v>
      </c>
      <c r="F122" s="12">
        <f>F121/F114</f>
        <v>-0.20124239145038456</v>
      </c>
      <c r="G122" s="12">
        <f>G121/G114</f>
        <v>-0.45427960230219694</v>
      </c>
      <c r="H122" s="12">
        <f>H121/H114</f>
        <v>-0.60349154673590755</v>
      </c>
      <c r="I122" s="12">
        <f>I121/I114</f>
        <v>-0.69878584469819705</v>
      </c>
      <c r="J122" s="12">
        <f>J121/J114</f>
        <v>-0.76330811106847163</v>
      </c>
      <c r="K122" s="12">
        <f>K121/K114</f>
        <v>-0.60054924330048642</v>
      </c>
      <c r="L122" s="12">
        <f>L121/L114</f>
        <v>5.4936127638391161E-2</v>
      </c>
      <c r="M122" s="12">
        <f>M121/M114</f>
        <v>0.56533433977749781</v>
      </c>
      <c r="N122" s="12">
        <f>N121/N114</f>
        <v>0.91870646446596305</v>
      </c>
      <c r="O122" s="12">
        <f>O121/O114</f>
        <v>1.1129621501593245</v>
      </c>
      <c r="P122" s="12">
        <f>P121/P114</f>
        <v>1.1160930502233368</v>
      </c>
      <c r="Q122" s="12">
        <f>Q121/Q114</f>
        <v>1.0597820932500595</v>
      </c>
      <c r="R122" s="12">
        <f>R121/R114</f>
        <v>0.95857341986806721</v>
      </c>
      <c r="S122" s="12">
        <f>S121/S114</f>
        <v>0.86044385527849498</v>
      </c>
      <c r="T122" s="12">
        <f>T121/T114</f>
        <v>0.77280210734277244</v>
      </c>
      <c r="U122" s="12">
        <f>U121/U114</f>
        <v>0.69276877145329396</v>
      </c>
      <c r="V122" s="12">
        <f>V121/V114</f>
        <v>0.61945757201769969</v>
      </c>
      <c r="W122" s="12">
        <f>W121/W114</f>
        <v>0.55290750571961111</v>
      </c>
      <c r="X122" s="12">
        <f>X121/X114</f>
        <v>0.49137068534267148</v>
      </c>
      <c r="Y122" s="12">
        <f>Y121/Y114</f>
        <v>0.43434933077596627</v>
      </c>
      <c r="AA122" s="13" t="str">
        <f t="shared" si="65"/>
        <v>Total G's</v>
      </c>
      <c r="AE122" t="s">
        <v>68</v>
      </c>
    </row>
    <row r="123" spans="2:33" ht="15" customHeight="1">
      <c r="B123" s="32"/>
      <c r="C123" s="33"/>
      <c r="D123" s="33"/>
      <c r="E123" s="10" t="s">
        <v>39</v>
      </c>
      <c r="F123" s="7">
        <f t="shared" ref="F123:X123" si="66">32.2*F122</f>
        <v>-6.4800050047023836</v>
      </c>
      <c r="G123" s="7">
        <f t="shared" si="66"/>
        <v>-14.627803194130744</v>
      </c>
      <c r="H123" s="7">
        <f t="shared" si="66"/>
        <v>-19.432427804896225</v>
      </c>
      <c r="I123" s="7">
        <f t="shared" si="66"/>
        <v>-22.500904199281948</v>
      </c>
      <c r="J123" s="7">
        <f t="shared" si="66"/>
        <v>-24.578521176404788</v>
      </c>
      <c r="K123" s="7">
        <f t="shared" si="66"/>
        <v>-19.337685634275665</v>
      </c>
      <c r="L123" s="7">
        <f t="shared" si="66"/>
        <v>1.7689433099561955</v>
      </c>
      <c r="M123" s="7">
        <f t="shared" si="66"/>
        <v>18.203765740835433</v>
      </c>
      <c r="N123" s="7">
        <f t="shared" si="66"/>
        <v>29.582348155804013</v>
      </c>
      <c r="O123" s="7">
        <f t="shared" si="66"/>
        <v>35.837381235130252</v>
      </c>
      <c r="P123" s="7">
        <f t="shared" si="66"/>
        <v>35.938196217191447</v>
      </c>
      <c r="Q123" s="7">
        <f t="shared" si="66"/>
        <v>34.124983402651914</v>
      </c>
      <c r="R123" s="7">
        <f t="shared" si="66"/>
        <v>30.866064119751766</v>
      </c>
      <c r="S123" s="7">
        <f t="shared" si="66"/>
        <v>27.706292139967541</v>
      </c>
      <c r="T123" s="7">
        <f t="shared" si="66"/>
        <v>24.884227856437274</v>
      </c>
      <c r="U123" s="7">
        <f t="shared" si="66"/>
        <v>22.307154440796069</v>
      </c>
      <c r="V123" s="7">
        <f t="shared" si="66"/>
        <v>19.946533818969932</v>
      </c>
      <c r="W123" s="7">
        <f t="shared" si="66"/>
        <v>17.803621684171478</v>
      </c>
      <c r="X123" s="7">
        <f t="shared" si="66"/>
        <v>15.822136068034023</v>
      </c>
      <c r="Y123" s="7">
        <f>32.2*Y122</f>
        <v>13.986048450986114</v>
      </c>
      <c r="AA123" s="13" t="str">
        <f t="shared" si="65"/>
        <v>Average Acceleration Y - Ft/sec/sec</v>
      </c>
      <c r="AE123" t="s">
        <v>93</v>
      </c>
    </row>
    <row r="124" spans="2:33" ht="15" customHeight="1">
      <c r="B124" s="32"/>
      <c r="C124" s="33"/>
      <c r="D124" s="33"/>
      <c r="E124" s="10" t="s">
        <v>54</v>
      </c>
      <c r="F124" s="8">
        <f t="shared" ref="F124:X124" si="67">F123*$N$4</f>
        <v>-129.60010009404766</v>
      </c>
      <c r="G124" s="8">
        <f t="shared" si="67"/>
        <v>-292.55606388261486</v>
      </c>
      <c r="H124" s="8">
        <f t="shared" si="67"/>
        <v>-388.64855609792448</v>
      </c>
      <c r="I124" s="8">
        <f t="shared" si="67"/>
        <v>-450.01808398563895</v>
      </c>
      <c r="J124" s="8">
        <f t="shared" si="67"/>
        <v>-491.57042352809577</v>
      </c>
      <c r="K124" s="8">
        <f t="shared" si="67"/>
        <v>-386.75371268551328</v>
      </c>
      <c r="L124" s="8">
        <f t="shared" si="67"/>
        <v>35.378866199123912</v>
      </c>
      <c r="M124" s="8">
        <f t="shared" si="67"/>
        <v>364.07531481670867</v>
      </c>
      <c r="N124" s="8">
        <f t="shared" si="67"/>
        <v>591.64696311608031</v>
      </c>
      <c r="O124" s="8">
        <f t="shared" si="67"/>
        <v>716.74762470260498</v>
      </c>
      <c r="P124" s="8">
        <f t="shared" si="67"/>
        <v>718.76392434382888</v>
      </c>
      <c r="Q124" s="8">
        <f t="shared" si="67"/>
        <v>682.49966805303825</v>
      </c>
      <c r="R124" s="8">
        <f t="shared" si="67"/>
        <v>617.32128239503527</v>
      </c>
      <c r="S124" s="8">
        <f t="shared" si="67"/>
        <v>554.12584279935083</v>
      </c>
      <c r="T124" s="8">
        <f t="shared" si="67"/>
        <v>497.6845571287455</v>
      </c>
      <c r="U124" s="8">
        <f t="shared" si="67"/>
        <v>446.14308881592137</v>
      </c>
      <c r="V124" s="8">
        <f t="shared" si="67"/>
        <v>398.93067637939862</v>
      </c>
      <c r="W124" s="8">
        <f t="shared" si="67"/>
        <v>356.07243368342955</v>
      </c>
      <c r="X124" s="8">
        <f t="shared" si="67"/>
        <v>316.44272136068048</v>
      </c>
      <c r="Y124" s="8">
        <f>Y123*$N$4</f>
        <v>279.7209690197223</v>
      </c>
      <c r="Z124" s="8"/>
      <c r="AA124" s="13" t="str">
        <f t="shared" si="65"/>
        <v>Delta Vy - Ft/sec/Sec</v>
      </c>
      <c r="AE124" t="s">
        <v>105</v>
      </c>
    </row>
    <row r="125" spans="2:33" ht="15" customHeight="1">
      <c r="B125" s="32"/>
      <c r="C125" s="33"/>
      <c r="D125" s="33"/>
      <c r="E125" s="10" t="s">
        <v>57</v>
      </c>
      <c r="F125" s="8">
        <f t="shared" ref="F125:X125" si="68">G125+F124</f>
        <v>4877.5834631280695</v>
      </c>
      <c r="G125" s="8">
        <f t="shared" si="68"/>
        <v>5007.1835632221173</v>
      </c>
      <c r="H125" s="8">
        <f t="shared" si="68"/>
        <v>5299.7396271047319</v>
      </c>
      <c r="I125" s="8">
        <f t="shared" si="68"/>
        <v>5688.3881832026564</v>
      </c>
      <c r="J125" s="8">
        <f t="shared" si="68"/>
        <v>6138.4062671882957</v>
      </c>
      <c r="K125" s="8">
        <f t="shared" si="68"/>
        <v>6629.9766907163912</v>
      </c>
      <c r="L125" s="8">
        <f t="shared" si="68"/>
        <v>7016.7304034019044</v>
      </c>
      <c r="M125" s="8">
        <f t="shared" si="68"/>
        <v>6981.3515372027805</v>
      </c>
      <c r="N125" s="8">
        <f t="shared" si="68"/>
        <v>6617.2762223860718</v>
      </c>
      <c r="O125" s="8">
        <f t="shared" si="68"/>
        <v>6025.6292592699911</v>
      </c>
      <c r="P125" s="8">
        <f t="shared" si="68"/>
        <v>5308.8816345673858</v>
      </c>
      <c r="Q125" s="8">
        <f t="shared" si="68"/>
        <v>4590.117710223557</v>
      </c>
      <c r="R125" s="8">
        <f t="shared" si="68"/>
        <v>3907.6180421705189</v>
      </c>
      <c r="S125" s="8">
        <f t="shared" si="68"/>
        <v>3290.2967597754837</v>
      </c>
      <c r="T125" s="8">
        <f t="shared" si="68"/>
        <v>2736.170916976133</v>
      </c>
      <c r="U125" s="8">
        <f t="shared" si="68"/>
        <v>2238.4863598473876</v>
      </c>
      <c r="V125" s="8">
        <f t="shared" si="68"/>
        <v>1792.3432710314662</v>
      </c>
      <c r="W125" s="8">
        <f t="shared" si="68"/>
        <v>1393.4125946520676</v>
      </c>
      <c r="X125" s="8">
        <f t="shared" si="68"/>
        <v>1037.340160968638</v>
      </c>
      <c r="Y125" s="8">
        <f>Z125+Y124</f>
        <v>720.89743960795749</v>
      </c>
      <c r="Z125" s="8">
        <f>$F$46</f>
        <v>441.17647058823525</v>
      </c>
      <c r="AA125" s="13" t="s">
        <v>57</v>
      </c>
      <c r="AE125" t="s">
        <v>102</v>
      </c>
    </row>
    <row r="126" spans="2:33" ht="15" customHeight="1">
      <c r="B126" s="32"/>
      <c r="C126" s="33"/>
      <c r="D126" s="33"/>
      <c r="E126" s="10" t="s">
        <v>58</v>
      </c>
      <c r="F126" s="8">
        <f t="shared" ref="F126:X126" si="69">F125*0.68</f>
        <v>3316.7567549270875</v>
      </c>
      <c r="G126" s="8">
        <f t="shared" si="69"/>
        <v>3404.88482299104</v>
      </c>
      <c r="H126" s="8">
        <f t="shared" si="69"/>
        <v>3603.822946431218</v>
      </c>
      <c r="I126" s="8">
        <f t="shared" si="69"/>
        <v>3868.1039645778064</v>
      </c>
      <c r="J126" s="8">
        <f t="shared" si="69"/>
        <v>4174.116261688041</v>
      </c>
      <c r="K126" s="8">
        <f t="shared" si="69"/>
        <v>4508.3841496871464</v>
      </c>
      <c r="L126" s="8">
        <f t="shared" si="69"/>
        <v>4771.3766743132956</v>
      </c>
      <c r="M126" s="8">
        <f t="shared" si="69"/>
        <v>4747.3190452978906</v>
      </c>
      <c r="N126" s="8">
        <f t="shared" si="69"/>
        <v>4499.7478312225294</v>
      </c>
      <c r="O126" s="8">
        <f t="shared" si="69"/>
        <v>4097.427896303594</v>
      </c>
      <c r="P126" s="8">
        <f t="shared" si="69"/>
        <v>3610.0395115058227</v>
      </c>
      <c r="Q126" s="8">
        <f t="shared" si="69"/>
        <v>3121.2800429520189</v>
      </c>
      <c r="R126" s="8">
        <f t="shared" si="69"/>
        <v>2657.1802686759529</v>
      </c>
      <c r="S126" s="8">
        <f t="shared" si="69"/>
        <v>2237.4017966473289</v>
      </c>
      <c r="T126" s="8">
        <f t="shared" si="69"/>
        <v>1860.5962235437705</v>
      </c>
      <c r="U126" s="8">
        <f t="shared" si="69"/>
        <v>1522.1707246962237</v>
      </c>
      <c r="V126" s="8">
        <f t="shared" si="69"/>
        <v>1218.7934243013972</v>
      </c>
      <c r="W126" s="8">
        <f t="shared" si="69"/>
        <v>947.52056436340604</v>
      </c>
      <c r="X126" s="8">
        <f t="shared" si="69"/>
        <v>705.39130945867385</v>
      </c>
      <c r="Y126" s="8">
        <f t="shared" ref="Y126" si="70">Y125*0.68</f>
        <v>490.21025893341113</v>
      </c>
      <c r="AA126" s="13" t="str">
        <f t="shared" si="65"/>
        <v>Final VY - MPH</v>
      </c>
    </row>
    <row r="127" spans="2:33" ht="15.6">
      <c r="E127" s="10" t="s">
        <v>23</v>
      </c>
      <c r="F127" s="7">
        <f t="shared" ref="F127:X127" si="71">$N$4*(G126+F126)/2</f>
        <v>67216.415779181276</v>
      </c>
      <c r="G127" s="7">
        <f t="shared" si="71"/>
        <v>70087.077694222578</v>
      </c>
      <c r="H127" s="7">
        <f t="shared" si="71"/>
        <v>74719.269110090245</v>
      </c>
      <c r="I127" s="7">
        <f t="shared" si="71"/>
        <v>80422.20226265848</v>
      </c>
      <c r="J127" s="7">
        <f t="shared" si="71"/>
        <v>86825.004113751871</v>
      </c>
      <c r="K127" s="7">
        <f t="shared" si="71"/>
        <v>92797.608240004411</v>
      </c>
      <c r="L127" s="7">
        <f t="shared" si="71"/>
        <v>95186.957196111878</v>
      </c>
      <c r="M127" s="7">
        <f t="shared" si="71"/>
        <v>92470.668765204202</v>
      </c>
      <c r="N127" s="7">
        <f t="shared" si="71"/>
        <v>85971.757275261218</v>
      </c>
      <c r="O127" s="7">
        <f t="shared" si="71"/>
        <v>77074.674078094162</v>
      </c>
      <c r="P127" s="7">
        <f t="shared" si="71"/>
        <v>67313.195544578411</v>
      </c>
      <c r="Q127" s="7">
        <f t="shared" si="71"/>
        <v>57784.603116279723</v>
      </c>
      <c r="R127" s="7">
        <f t="shared" si="71"/>
        <v>48945.820653232819</v>
      </c>
      <c r="S127" s="7">
        <f t="shared" si="71"/>
        <v>40979.980201910992</v>
      </c>
      <c r="T127" s="7">
        <f t="shared" si="71"/>
        <v>33827.669482399942</v>
      </c>
      <c r="U127" s="7">
        <f t="shared" si="71"/>
        <v>27409.641489976209</v>
      </c>
      <c r="V127" s="7">
        <f t="shared" si="71"/>
        <v>21663.13988664803</v>
      </c>
      <c r="W127" s="7">
        <f t="shared" si="71"/>
        <v>16529.118738220801</v>
      </c>
      <c r="X127" s="7">
        <f t="shared" si="71"/>
        <v>11956.01568392085</v>
      </c>
      <c r="Y127" s="7">
        <f>$N$4*(Z126+Y126)/2</f>
        <v>4902.1025893341111</v>
      </c>
      <c r="AA127" s="13" t="str">
        <f t="shared" si="65"/>
        <v>Delta Y - Ft</v>
      </c>
      <c r="AE127" t="s">
        <v>119</v>
      </c>
    </row>
    <row r="128" spans="2:33">
      <c r="E128" s="51" t="s">
        <v>24</v>
      </c>
      <c r="F128" s="56">
        <f t="shared" ref="F128:X128" si="72">G128+F127</f>
        <v>1158382.9219010822</v>
      </c>
      <c r="G128" s="56">
        <f t="shared" si="72"/>
        <v>1091166.5061219009</v>
      </c>
      <c r="H128" s="56">
        <f t="shared" si="72"/>
        <v>1021079.4284276783</v>
      </c>
      <c r="I128" s="56">
        <f t="shared" si="72"/>
        <v>946360.15931758808</v>
      </c>
      <c r="J128" s="56">
        <f t="shared" si="72"/>
        <v>865937.95705492957</v>
      </c>
      <c r="K128" s="56">
        <f t="shared" si="72"/>
        <v>779112.95294117776</v>
      </c>
      <c r="L128" s="56">
        <f t="shared" si="72"/>
        <v>686315.34470117337</v>
      </c>
      <c r="M128" s="56">
        <f t="shared" si="72"/>
        <v>591128.38750506146</v>
      </c>
      <c r="N128" s="56">
        <f t="shared" si="72"/>
        <v>498657.7187398572</v>
      </c>
      <c r="O128" s="56">
        <f t="shared" si="72"/>
        <v>412685.96146459598</v>
      </c>
      <c r="P128" s="56">
        <f t="shared" si="72"/>
        <v>335611.28738650185</v>
      </c>
      <c r="Q128" s="56">
        <f t="shared" si="72"/>
        <v>268298.09184192342</v>
      </c>
      <c r="R128" s="56">
        <f t="shared" si="72"/>
        <v>210513.48872564372</v>
      </c>
      <c r="S128" s="56">
        <f t="shared" si="72"/>
        <v>161567.66807241092</v>
      </c>
      <c r="T128" s="56">
        <f t="shared" si="72"/>
        <v>120587.68787049994</v>
      </c>
      <c r="U128" s="56">
        <f t="shared" si="72"/>
        <v>86760.018388099998</v>
      </c>
      <c r="V128" s="56">
        <f t="shared" si="72"/>
        <v>59350.376898123795</v>
      </c>
      <c r="W128" s="56">
        <f t="shared" si="72"/>
        <v>37687.237011475765</v>
      </c>
      <c r="X128" s="56">
        <f t="shared" si="72"/>
        <v>21158.118273254961</v>
      </c>
      <c r="Y128" s="56">
        <f>Z128+Y127</f>
        <v>9202.1025893341102</v>
      </c>
      <c r="Z128" s="59">
        <f>$F$45</f>
        <v>4300</v>
      </c>
      <c r="AA128" s="53" t="str">
        <f t="shared" si="65"/>
        <v>Altitude  - Feet</v>
      </c>
      <c r="AE128" t="s">
        <v>102</v>
      </c>
    </row>
    <row r="129" spans="2:31">
      <c r="E129" s="10" t="s">
        <v>10</v>
      </c>
      <c r="F129" s="14">
        <f t="shared" ref="F129:X129" si="73">F128/5280</f>
        <v>219.39070490550799</v>
      </c>
      <c r="G129" s="14">
        <f t="shared" si="73"/>
        <v>206.66032312914788</v>
      </c>
      <c r="H129" s="14">
        <f t="shared" si="73"/>
        <v>193.38625538402999</v>
      </c>
      <c r="I129" s="14">
        <f t="shared" si="73"/>
        <v>179.2348786586341</v>
      </c>
      <c r="J129" s="14">
        <f t="shared" si="73"/>
        <v>164.00340095737303</v>
      </c>
      <c r="K129" s="14">
        <f t="shared" si="73"/>
        <v>147.55927139037459</v>
      </c>
      <c r="L129" s="14">
        <f t="shared" si="73"/>
        <v>129.98396679946464</v>
      </c>
      <c r="M129" s="14">
        <f t="shared" si="73"/>
        <v>111.95613399717072</v>
      </c>
      <c r="N129" s="14">
        <f t="shared" si="73"/>
        <v>94.442749761336586</v>
      </c>
      <c r="O129" s="14">
        <f t="shared" si="73"/>
        <v>78.1602199743553</v>
      </c>
      <c r="P129" s="14">
        <f t="shared" si="73"/>
        <v>63.56274382320111</v>
      </c>
      <c r="Q129" s="14">
        <f t="shared" si="73"/>
        <v>50.814032545818833</v>
      </c>
      <c r="R129" s="14">
        <f t="shared" si="73"/>
        <v>39.869978925311308</v>
      </c>
      <c r="S129" s="14">
        <f t="shared" si="73"/>
        <v>30.599937134926311</v>
      </c>
      <c r="T129" s="14">
        <f t="shared" si="73"/>
        <v>22.838577248200746</v>
      </c>
      <c r="U129" s="14">
        <f t="shared" si="73"/>
        <v>16.43182166441288</v>
      </c>
      <c r="V129" s="14">
        <f t="shared" si="73"/>
        <v>11.240601685250718</v>
      </c>
      <c r="W129" s="14">
        <f t="shared" si="73"/>
        <v>7.1377342824764707</v>
      </c>
      <c r="X129" s="14">
        <f t="shared" si="73"/>
        <v>4.0072193699346519</v>
      </c>
      <c r="Y129" s="14">
        <f>Y128/5280</f>
        <v>1.7428224601011573</v>
      </c>
      <c r="AA129" s="13" t="str">
        <f t="shared" si="65"/>
        <v>Height - Miles</v>
      </c>
    </row>
    <row r="131" spans="2:31" ht="15" customHeight="1">
      <c r="B131" s="32"/>
      <c r="C131" s="33"/>
      <c r="D131" s="33"/>
      <c r="E131" s="10" t="s">
        <v>52</v>
      </c>
      <c r="F131" s="8">
        <f t="shared" ref="F131:X131" si="74">F38*COS((F41/(180/PI())))</f>
        <v>151.97684966377147</v>
      </c>
      <c r="G131" s="8">
        <f t="shared" si="74"/>
        <v>194.97030055549629</v>
      </c>
      <c r="H131" s="8">
        <f t="shared" si="74"/>
        <v>243.96283761815948</v>
      </c>
      <c r="I131" s="8">
        <f t="shared" si="74"/>
        <v>299.95430854691739</v>
      </c>
      <c r="J131" s="8">
        <f t="shared" si="74"/>
        <v>361.94486564661366</v>
      </c>
      <c r="K131" s="8">
        <f t="shared" ref="K131:U131" si="75">K38*COS((K41/(180/PI())))</f>
        <v>428.36372017945058</v>
      </c>
      <c r="L131" s="8">
        <f t="shared" si="75"/>
        <v>473.60508087609787</v>
      </c>
      <c r="M131" s="8">
        <f t="shared" si="75"/>
        <v>479.20394590906022</v>
      </c>
      <c r="N131" s="8">
        <f t="shared" si="75"/>
        <v>431.95327370935445</v>
      </c>
      <c r="O131" s="8">
        <f t="shared" si="75"/>
        <v>323.30297023163507</v>
      </c>
      <c r="P131" s="8">
        <f t="shared" si="75"/>
        <v>223.87847401368043</v>
      </c>
      <c r="Q131" s="8">
        <f t="shared" si="75"/>
        <v>84.628226207976056</v>
      </c>
      <c r="R131" s="8">
        <f t="shared" si="75"/>
        <v>6.6341788833301774E-14</v>
      </c>
      <c r="S131" s="8">
        <f t="shared" si="75"/>
        <v>7.3570164717262632E-14</v>
      </c>
      <c r="T131" s="8">
        <f t="shared" si="75"/>
        <v>8.1227342560441507E-14</v>
      </c>
      <c r="U131" s="8">
        <f t="shared" si="75"/>
        <v>8.9252064940092968E-14</v>
      </c>
      <c r="V131" s="8">
        <f t="shared" si="74"/>
        <v>9.7644331856217015E-14</v>
      </c>
      <c r="W131" s="8">
        <f t="shared" si="74"/>
        <v>1.0646540073155908E-13</v>
      </c>
      <c r="X131" s="8">
        <f t="shared" si="74"/>
        <v>1.1565401414337373E-13</v>
      </c>
      <c r="Y131" s="8">
        <f>Y38*COS((Y41/(180/PI())))</f>
        <v>1.2521017209166097E-13</v>
      </c>
      <c r="AA131" s="13" t="str">
        <f>E131</f>
        <v>Total Axial Thrust X - K</v>
      </c>
    </row>
    <row r="132" spans="2:31">
      <c r="E132" s="10" t="s">
        <v>36</v>
      </c>
      <c r="F132" s="12">
        <f>F131/F114</f>
        <v>5.3588451926576681</v>
      </c>
      <c r="G132" s="12">
        <f>G131/G114</f>
        <v>4.5463518842368256</v>
      </c>
      <c r="H132" s="12">
        <f>H131/H114</f>
        <v>3.9876240212186906</v>
      </c>
      <c r="I132" s="12">
        <f>I131/I114</f>
        <v>3.5802615009180876</v>
      </c>
      <c r="J132" s="12">
        <f>J131/J114</f>
        <v>3.2551926040706327</v>
      </c>
      <c r="K132" s="12">
        <f>K131/K114</f>
        <v>2.9770221709601126</v>
      </c>
      <c r="L132" s="12">
        <f>L131/L114</f>
        <v>2.5970886207287665</v>
      </c>
      <c r="M132" s="12">
        <f>M131/M114</f>
        <v>2.1097758861868945</v>
      </c>
      <c r="N132" s="12">
        <f>N131/N114</f>
        <v>1.5497749487275922</v>
      </c>
      <c r="O132" s="12">
        <f>O131/O114</f>
        <v>0.95766516160380055</v>
      </c>
      <c r="P132" s="12">
        <f>P131/P114</f>
        <v>0.55375029128156528</v>
      </c>
      <c r="Q132" s="12">
        <f>Q131/Q114</f>
        <v>0.17655708800495706</v>
      </c>
      <c r="R132" s="12">
        <f>R131/R114</f>
        <v>1.1780169014995921E-16</v>
      </c>
      <c r="S132" s="12">
        <f>S131/S114</f>
        <v>1.1209923085999836E-16</v>
      </c>
      <c r="T132" s="12">
        <f>T131/T114</f>
        <v>1.0698365829495095E-16</v>
      </c>
      <c r="U132" s="12">
        <f>U131/U114</f>
        <v>1.0229052695891048E-16</v>
      </c>
      <c r="V132" s="12">
        <f>V131/V114</f>
        <v>9.7974505941238986E-17</v>
      </c>
      <c r="W132" s="12">
        <f>W131/W114</f>
        <v>9.4044891863187858E-17</v>
      </c>
      <c r="X132" s="12">
        <f>X131/X114</f>
        <v>9.0399898498760109E-17</v>
      </c>
      <c r="Y132" s="12">
        <f>Y131/Y114</f>
        <v>8.7013142706403813E-17</v>
      </c>
      <c r="AA132" s="13" t="str">
        <f t="shared" ref="AA132:AA141" si="76">E132</f>
        <v>Total G's</v>
      </c>
    </row>
    <row r="133" spans="2:31">
      <c r="E133" s="10" t="s">
        <v>53</v>
      </c>
      <c r="F133" s="7">
        <f t="shared" ref="F133:X133" si="77">32.2*F132</f>
        <v>172.55481520357694</v>
      </c>
      <c r="G133" s="7">
        <f t="shared" si="77"/>
        <v>146.39253067242581</v>
      </c>
      <c r="H133" s="7">
        <f t="shared" si="77"/>
        <v>128.40149348324184</v>
      </c>
      <c r="I133" s="7">
        <f t="shared" si="77"/>
        <v>115.28442032956244</v>
      </c>
      <c r="J133" s="7">
        <f t="shared" si="77"/>
        <v>104.81720185107439</v>
      </c>
      <c r="K133" s="7">
        <f t="shared" si="77"/>
        <v>95.860113904915636</v>
      </c>
      <c r="L133" s="7">
        <f t="shared" si="77"/>
        <v>83.62625358746628</v>
      </c>
      <c r="M133" s="7">
        <f t="shared" si="77"/>
        <v>67.934783535218003</v>
      </c>
      <c r="N133" s="7">
        <f t="shared" si="77"/>
        <v>49.902753349028472</v>
      </c>
      <c r="O133" s="7">
        <f t="shared" si="77"/>
        <v>30.83681820364238</v>
      </c>
      <c r="P133" s="7">
        <f t="shared" si="77"/>
        <v>17.830759379266404</v>
      </c>
      <c r="Q133" s="7">
        <f t="shared" si="77"/>
        <v>5.6851382337596181</v>
      </c>
      <c r="R133" s="7">
        <f t="shared" si="77"/>
        <v>3.7932144228286871E-15</v>
      </c>
      <c r="S133" s="7">
        <f t="shared" si="77"/>
        <v>3.6095952336919473E-15</v>
      </c>
      <c r="T133" s="7">
        <f t="shared" si="77"/>
        <v>3.4448737970974206E-15</v>
      </c>
      <c r="U133" s="7">
        <f t="shared" si="77"/>
        <v>3.2937549680769179E-15</v>
      </c>
      <c r="V133" s="7">
        <f t="shared" si="77"/>
        <v>3.1547790913078956E-15</v>
      </c>
      <c r="W133" s="7">
        <f t="shared" si="77"/>
        <v>3.0282455179946492E-15</v>
      </c>
      <c r="X133" s="7">
        <f t="shared" si="77"/>
        <v>2.9108767316600756E-15</v>
      </c>
      <c r="Y133" s="7">
        <f>32.2*Y132</f>
        <v>2.8018231951462032E-15</v>
      </c>
      <c r="AA133" s="13" t="str">
        <f t="shared" si="76"/>
        <v>Average Acceleration X - Ft/sec/sec</v>
      </c>
      <c r="AB133" s="13"/>
    </row>
    <row r="134" spans="2:31" ht="15.6">
      <c r="E134" s="10" t="s">
        <v>56</v>
      </c>
      <c r="F134" s="7">
        <f t="shared" ref="F134:X134" si="78">F133*$N$4</f>
        <v>3451.0963040715387</v>
      </c>
      <c r="G134" s="7">
        <f t="shared" si="78"/>
        <v>2927.850613448516</v>
      </c>
      <c r="H134" s="7">
        <f t="shared" si="78"/>
        <v>2568.029869664837</v>
      </c>
      <c r="I134" s="7">
        <f t="shared" si="78"/>
        <v>2305.6884065912486</v>
      </c>
      <c r="J134" s="7">
        <f t="shared" si="78"/>
        <v>2096.3440370214876</v>
      </c>
      <c r="K134" s="7">
        <f t="shared" si="78"/>
        <v>1917.2022780983127</v>
      </c>
      <c r="L134" s="7">
        <f t="shared" si="78"/>
        <v>1672.5250717493257</v>
      </c>
      <c r="M134" s="7">
        <f t="shared" si="78"/>
        <v>1358.6956707043601</v>
      </c>
      <c r="N134" s="7">
        <f t="shared" si="78"/>
        <v>998.05506698056945</v>
      </c>
      <c r="O134" s="7">
        <f t="shared" si="78"/>
        <v>616.73636407284766</v>
      </c>
      <c r="P134" s="7">
        <f t="shared" si="78"/>
        <v>356.61518758532804</v>
      </c>
      <c r="Q134" s="7">
        <f t="shared" si="78"/>
        <v>113.70276467519236</v>
      </c>
      <c r="R134" s="7">
        <f t="shared" si="78"/>
        <v>7.5864288456573736E-14</v>
      </c>
      <c r="S134" s="7">
        <f t="shared" si="78"/>
        <v>7.2191904673838943E-14</v>
      </c>
      <c r="T134" s="7">
        <f t="shared" si="78"/>
        <v>6.8897475941948409E-14</v>
      </c>
      <c r="U134" s="7">
        <f t="shared" si="78"/>
        <v>6.5875099361538359E-14</v>
      </c>
      <c r="V134" s="7">
        <f t="shared" si="78"/>
        <v>6.3095581826157906E-14</v>
      </c>
      <c r="W134" s="7">
        <f t="shared" si="78"/>
        <v>6.0564910359892982E-14</v>
      </c>
      <c r="X134" s="7">
        <f t="shared" si="78"/>
        <v>5.8217534633201514E-14</v>
      </c>
      <c r="Y134" s="7">
        <f>Y133*$N$4</f>
        <v>5.6036463902924064E-14</v>
      </c>
      <c r="Z134" s="11"/>
      <c r="AA134" s="13" t="str">
        <f t="shared" si="76"/>
        <v>Delta VX - Ft/Sec</v>
      </c>
    </row>
    <row r="135" spans="2:31" ht="15" customHeight="1">
      <c r="B135" s="32"/>
      <c r="C135" s="33"/>
      <c r="D135" s="33"/>
      <c r="E135" s="10" t="s">
        <v>108</v>
      </c>
      <c r="F135" s="8">
        <f t="shared" ref="F135:X135" si="79">G135+F134</f>
        <v>21182.016658238786</v>
      </c>
      <c r="G135" s="8">
        <f t="shared" si="79"/>
        <v>17730.920354167247</v>
      </c>
      <c r="H135" s="8">
        <f t="shared" si="79"/>
        <v>14803.069740718731</v>
      </c>
      <c r="I135" s="8">
        <f t="shared" si="79"/>
        <v>12235.039871053894</v>
      </c>
      <c r="J135" s="8">
        <f t="shared" si="79"/>
        <v>9929.3514644626448</v>
      </c>
      <c r="K135" s="8">
        <f t="shared" si="79"/>
        <v>7833.0074274411581</v>
      </c>
      <c r="L135" s="8">
        <f t="shared" si="79"/>
        <v>5915.8051493428457</v>
      </c>
      <c r="M135" s="8">
        <f t="shared" si="79"/>
        <v>4243.2800775935202</v>
      </c>
      <c r="N135" s="8">
        <f t="shared" si="79"/>
        <v>2884.5844068891602</v>
      </c>
      <c r="O135" s="8">
        <f t="shared" si="79"/>
        <v>1886.5293399085908</v>
      </c>
      <c r="P135" s="8">
        <f t="shared" si="79"/>
        <v>1269.7929758357432</v>
      </c>
      <c r="Q135" s="8">
        <f t="shared" si="79"/>
        <v>913.17778825041501</v>
      </c>
      <c r="R135" s="8">
        <f t="shared" si="79"/>
        <v>799.47502357522262</v>
      </c>
      <c r="S135" s="8">
        <f t="shared" si="79"/>
        <v>799.47502357522251</v>
      </c>
      <c r="T135" s="8">
        <f t="shared" si="79"/>
        <v>799.47502357522239</v>
      </c>
      <c r="U135" s="8">
        <f t="shared" si="79"/>
        <v>799.47502357522228</v>
      </c>
      <c r="V135" s="8">
        <f t="shared" si="79"/>
        <v>799.47502357522217</v>
      </c>
      <c r="W135" s="8">
        <f t="shared" si="79"/>
        <v>799.47502357522205</v>
      </c>
      <c r="X135" s="8">
        <f t="shared" si="79"/>
        <v>799.47502357522194</v>
      </c>
      <c r="Y135" s="8">
        <f>Z135+Y134</f>
        <v>799.47502357522183</v>
      </c>
      <c r="Z135" s="11">
        <f>$F$48</f>
        <v>799.47502357522183</v>
      </c>
      <c r="AA135" s="13" t="str">
        <f t="shared" si="76"/>
        <v>Final V X - MPH</v>
      </c>
      <c r="AE135" t="s">
        <v>118</v>
      </c>
    </row>
    <row r="136" spans="2:31" ht="15.6">
      <c r="E136" s="10" t="s">
        <v>11</v>
      </c>
      <c r="F136" s="7">
        <f t="shared" ref="F136:X136" si="80">$N$4*(G135+F135)/2</f>
        <v>389129.37012406037</v>
      </c>
      <c r="G136" s="7">
        <f t="shared" si="80"/>
        <v>325339.90094885981</v>
      </c>
      <c r="H136" s="7">
        <f t="shared" si="80"/>
        <v>270381.09611772629</v>
      </c>
      <c r="I136" s="7">
        <f t="shared" si="80"/>
        <v>221643.91335516539</v>
      </c>
      <c r="J136" s="7">
        <f t="shared" si="80"/>
        <v>177623.58891903801</v>
      </c>
      <c r="K136" s="7">
        <f t="shared" si="80"/>
        <v>137488.12576784001</v>
      </c>
      <c r="L136" s="7">
        <f t="shared" si="80"/>
        <v>101590.85226936366</v>
      </c>
      <c r="M136" s="7">
        <f t="shared" si="80"/>
        <v>71278.644844826806</v>
      </c>
      <c r="N136" s="7">
        <f t="shared" si="80"/>
        <v>47711.137467977518</v>
      </c>
      <c r="O136" s="7">
        <f t="shared" si="80"/>
        <v>31563.223157443339</v>
      </c>
      <c r="P136" s="7">
        <f t="shared" si="80"/>
        <v>21829.707640861579</v>
      </c>
      <c r="Q136" s="7">
        <f t="shared" si="80"/>
        <v>17126.528118256378</v>
      </c>
      <c r="R136" s="7">
        <f t="shared" si="80"/>
        <v>15989.500471504452</v>
      </c>
      <c r="S136" s="7">
        <f t="shared" si="80"/>
        <v>15989.500471504449</v>
      </c>
      <c r="T136" s="7">
        <f t="shared" si="80"/>
        <v>15989.500471504449</v>
      </c>
      <c r="U136" s="7">
        <f t="shared" si="80"/>
        <v>15989.500471504443</v>
      </c>
      <c r="V136" s="7">
        <f t="shared" si="80"/>
        <v>15989.500471504443</v>
      </c>
      <c r="W136" s="7">
        <f t="shared" si="80"/>
        <v>15989.500471504438</v>
      </c>
      <c r="X136" s="7">
        <f t="shared" si="80"/>
        <v>15989.500471504438</v>
      </c>
      <c r="Y136" s="7">
        <f>$N$4*(Z135+Y135)/2</f>
        <v>15989.500471504436</v>
      </c>
      <c r="AA136" s="13" t="str">
        <f t="shared" si="76"/>
        <v>Delta X - Ft</v>
      </c>
      <c r="AE136" t="s">
        <v>119</v>
      </c>
    </row>
    <row r="137" spans="2:31">
      <c r="E137" s="10" t="s">
        <v>25</v>
      </c>
      <c r="F137" s="7">
        <f t="shared" ref="F137:X137" si="81">G137+F136</f>
        <v>1940622.0925034548</v>
      </c>
      <c r="G137" s="7">
        <f t="shared" si="81"/>
        <v>1551492.7223793943</v>
      </c>
      <c r="H137" s="7">
        <f t="shared" si="81"/>
        <v>1226152.8214305346</v>
      </c>
      <c r="I137" s="7">
        <f t="shared" si="81"/>
        <v>955771.7253128083</v>
      </c>
      <c r="J137" s="7">
        <f t="shared" si="81"/>
        <v>734127.8119576429</v>
      </c>
      <c r="K137" s="7">
        <f t="shared" si="81"/>
        <v>556504.22303860483</v>
      </c>
      <c r="L137" s="7">
        <f t="shared" si="81"/>
        <v>419016.09727076482</v>
      </c>
      <c r="M137" s="7">
        <f t="shared" si="81"/>
        <v>317425.24500140117</v>
      </c>
      <c r="N137" s="7">
        <f t="shared" si="81"/>
        <v>246146.60015657434</v>
      </c>
      <c r="O137" s="7">
        <f t="shared" si="81"/>
        <v>198435.46268859683</v>
      </c>
      <c r="P137" s="7">
        <f t="shared" si="81"/>
        <v>166872.23953115349</v>
      </c>
      <c r="Q137" s="7">
        <f t="shared" si="81"/>
        <v>145042.53189029192</v>
      </c>
      <c r="R137" s="7">
        <f t="shared" si="81"/>
        <v>127916.00377203555</v>
      </c>
      <c r="S137" s="7">
        <f t="shared" si="81"/>
        <v>111926.5033005311</v>
      </c>
      <c r="T137" s="7">
        <f t="shared" si="81"/>
        <v>95937.002829026649</v>
      </c>
      <c r="U137" s="7">
        <f t="shared" si="81"/>
        <v>79947.5023575222</v>
      </c>
      <c r="V137" s="7">
        <f t="shared" si="81"/>
        <v>63958.001886017759</v>
      </c>
      <c r="W137" s="7">
        <f t="shared" si="81"/>
        <v>47968.501414513317</v>
      </c>
      <c r="X137" s="7">
        <f t="shared" si="81"/>
        <v>31979.000943008876</v>
      </c>
      <c r="Y137" s="7">
        <f>Z137+Y136</f>
        <v>15989.500471504436</v>
      </c>
      <c r="AA137" s="13" t="str">
        <f t="shared" si="76"/>
        <v>Downrange  - Feet</v>
      </c>
    </row>
    <row r="138" spans="2:31">
      <c r="E138" s="51" t="s">
        <v>26</v>
      </c>
      <c r="F138" s="57">
        <f t="shared" ref="F138:X138" si="82">F137/5280</f>
        <v>367.54206297413918</v>
      </c>
      <c r="G138" s="57">
        <f t="shared" si="82"/>
        <v>293.84331863246103</v>
      </c>
      <c r="H138" s="57">
        <f t="shared" si="82"/>
        <v>232.22591314972246</v>
      </c>
      <c r="I138" s="57">
        <f t="shared" si="82"/>
        <v>181.01737221833491</v>
      </c>
      <c r="J138" s="57">
        <f t="shared" si="82"/>
        <v>139.03935832531116</v>
      </c>
      <c r="K138" s="57">
        <f t="shared" si="82"/>
        <v>105.39852709064485</v>
      </c>
      <c r="L138" s="57">
        <f t="shared" si="82"/>
        <v>79.35910933158425</v>
      </c>
      <c r="M138" s="57">
        <f t="shared" si="82"/>
        <v>60.118417613901734</v>
      </c>
      <c r="N138" s="57">
        <f t="shared" si="82"/>
        <v>46.618674272078472</v>
      </c>
      <c r="O138" s="57">
        <f t="shared" si="82"/>
        <v>37.582473994052428</v>
      </c>
      <c r="P138" s="57">
        <f t="shared" si="82"/>
        <v>31.604590820294224</v>
      </c>
      <c r="Q138" s="57">
        <f t="shared" si="82"/>
        <v>27.470176494373469</v>
      </c>
      <c r="R138" s="57">
        <f t="shared" si="82"/>
        <v>24.226515865915822</v>
      </c>
      <c r="S138" s="57">
        <f t="shared" si="82"/>
        <v>21.198201382676345</v>
      </c>
      <c r="T138" s="57">
        <f t="shared" si="82"/>
        <v>18.169886899436865</v>
      </c>
      <c r="U138" s="57">
        <f t="shared" si="82"/>
        <v>15.141572416197386</v>
      </c>
      <c r="V138" s="57">
        <f t="shared" si="82"/>
        <v>12.113257932957909</v>
      </c>
      <c r="W138" s="57">
        <f t="shared" si="82"/>
        <v>9.0849434497184305</v>
      </c>
      <c r="X138" s="57">
        <f t="shared" si="82"/>
        <v>6.0566289664789537</v>
      </c>
      <c r="Y138" s="57">
        <f>Y137/5280</f>
        <v>3.0283144832394764</v>
      </c>
      <c r="AA138" s="53" t="str">
        <f t="shared" si="76"/>
        <v>Downrange - Miles</v>
      </c>
    </row>
    <row r="139" spans="2:31">
      <c r="E139" s="10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AA139" s="13"/>
    </row>
    <row r="140" spans="2:31">
      <c r="E140" s="51" t="s">
        <v>121</v>
      </c>
      <c r="F140" s="56">
        <f t="shared" ref="F140:X140" si="83">SQRT(F135^2+F126^2)</f>
        <v>21440.119054736144</v>
      </c>
      <c r="G140" s="56">
        <f t="shared" si="83"/>
        <v>18054.882366375503</v>
      </c>
      <c r="H140" s="56">
        <f t="shared" si="83"/>
        <v>15235.43283198107</v>
      </c>
      <c r="I140" s="56">
        <f t="shared" si="83"/>
        <v>12831.930054635624</v>
      </c>
      <c r="J140" s="56">
        <f t="shared" si="83"/>
        <v>10771.038346924359</v>
      </c>
      <c r="K140" s="56">
        <f t="shared" si="83"/>
        <v>9037.7836331425096</v>
      </c>
      <c r="L140" s="56">
        <f t="shared" si="83"/>
        <v>7600.1832828670867</v>
      </c>
      <c r="M140" s="56">
        <f t="shared" si="83"/>
        <v>6367.2964384226798</v>
      </c>
      <c r="N140" s="56">
        <f t="shared" si="83"/>
        <v>5344.9562902852576</v>
      </c>
      <c r="O140" s="56">
        <f t="shared" si="83"/>
        <v>4510.8655838700006</v>
      </c>
      <c r="P140" s="56">
        <f t="shared" si="83"/>
        <v>3826.8471979052147</v>
      </c>
      <c r="Q140" s="56">
        <f t="shared" si="83"/>
        <v>3252.1197363388201</v>
      </c>
      <c r="R140" s="56">
        <f t="shared" si="83"/>
        <v>2774.8454539958457</v>
      </c>
      <c r="S140" s="56">
        <f t="shared" si="83"/>
        <v>2375.9476242041401</v>
      </c>
      <c r="T140" s="56">
        <f t="shared" si="83"/>
        <v>2025.0873117932331</v>
      </c>
      <c r="U140" s="56">
        <f t="shared" si="83"/>
        <v>1719.349885405187</v>
      </c>
      <c r="V140" s="56">
        <f t="shared" si="83"/>
        <v>1457.6068483788513</v>
      </c>
      <c r="W140" s="56">
        <f t="shared" si="83"/>
        <v>1239.74010712413</v>
      </c>
      <c r="X140" s="56">
        <f t="shared" si="83"/>
        <v>1066.1787902506899</v>
      </c>
      <c r="Y140" s="56">
        <f>SQRT(Y135^2+Y126^2)</f>
        <v>937.79870509836144</v>
      </c>
      <c r="Z140" s="55"/>
      <c r="AA140" s="53" t="str">
        <f t="shared" si="76"/>
        <v>Radial Velocity  X- MPH</v>
      </c>
      <c r="AE140" t="s">
        <v>120</v>
      </c>
    </row>
    <row r="141" spans="2:31">
      <c r="E141" s="70" t="s">
        <v>83</v>
      </c>
      <c r="F141" s="71">
        <f t="shared" ref="F141:X141" si="84">SQRT(F122^2+F132^2)</f>
        <v>5.3626225206504019</v>
      </c>
      <c r="G141" s="71">
        <f t="shared" si="84"/>
        <v>4.5689917282012642</v>
      </c>
      <c r="H141" s="71">
        <f t="shared" si="84"/>
        <v>4.0330320332948038</v>
      </c>
      <c r="I141" s="71">
        <f t="shared" si="84"/>
        <v>3.6478177136072478</v>
      </c>
      <c r="J141" s="71">
        <f t="shared" si="84"/>
        <v>3.343488920576688</v>
      </c>
      <c r="K141" s="71">
        <f t="shared" si="84"/>
        <v>3.0369919986751444</v>
      </c>
      <c r="L141" s="71">
        <f t="shared" si="84"/>
        <v>2.5976695867717177</v>
      </c>
      <c r="M141" s="71">
        <f t="shared" si="84"/>
        <v>2.1842063102343046</v>
      </c>
      <c r="N141" s="71">
        <f t="shared" si="84"/>
        <v>1.8016170402044829</v>
      </c>
      <c r="O141" s="71">
        <f t="shared" si="84"/>
        <v>1.4682667705280605</v>
      </c>
      <c r="P141" s="71">
        <f t="shared" si="84"/>
        <v>1.245914556400739</v>
      </c>
      <c r="Q141" s="71">
        <f t="shared" si="84"/>
        <v>1.0743884262678316</v>
      </c>
      <c r="R141" s="71">
        <f t="shared" si="84"/>
        <v>0.95857341986806721</v>
      </c>
      <c r="S141" s="71">
        <f t="shared" si="84"/>
        <v>0.86044385527849498</v>
      </c>
      <c r="T141" s="71">
        <f t="shared" si="84"/>
        <v>0.77280210734277244</v>
      </c>
      <c r="U141" s="71">
        <f t="shared" si="84"/>
        <v>0.69276877145329396</v>
      </c>
      <c r="V141" s="71">
        <f t="shared" si="84"/>
        <v>0.61945757201769969</v>
      </c>
      <c r="W141" s="71">
        <f t="shared" si="84"/>
        <v>0.55290750571961111</v>
      </c>
      <c r="X141" s="71">
        <f t="shared" si="84"/>
        <v>0.49137068534267148</v>
      </c>
      <c r="Y141" s="71">
        <f>SQRT(Y122^2+Y132^2)</f>
        <v>0.43434933077596627</v>
      </c>
      <c r="Z141" s="72"/>
      <c r="AA141" s="73" t="str">
        <f t="shared" si="76"/>
        <v>Axial G's</v>
      </c>
      <c r="AC141" s="74" t="s">
        <v>110</v>
      </c>
      <c r="AD141" s="75">
        <f>SUM(F141:Y141)/20</f>
        <v>1.9873840426605636</v>
      </c>
      <c r="AE141" s="76"/>
    </row>
    <row r="142" spans="2:31" ht="15" thickBot="1">
      <c r="AC142" s="74" t="s">
        <v>111</v>
      </c>
      <c r="AD142" s="77">
        <f>AD141*32.28*400*0.68</f>
        <v>17449.549876006575</v>
      </c>
      <c r="AE142" s="76" t="s">
        <v>112</v>
      </c>
    </row>
    <row r="143" spans="2:31" ht="21.6" thickBot="1">
      <c r="B143" s="26" t="s">
        <v>77</v>
      </c>
      <c r="C143" s="27"/>
      <c r="D143" s="27"/>
      <c r="E143" s="29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8"/>
    </row>
    <row r="144" spans="2:31" ht="21">
      <c r="B144" s="32"/>
      <c r="C144" s="33"/>
      <c r="D144" s="33"/>
      <c r="E144" s="10" t="s">
        <v>91</v>
      </c>
      <c r="F144" s="1">
        <f t="shared" ref="F144:W144" si="85">G144+1</f>
        <v>20</v>
      </c>
      <c r="G144" s="1">
        <f t="shared" si="85"/>
        <v>19</v>
      </c>
      <c r="H144" s="1">
        <f t="shared" si="85"/>
        <v>18</v>
      </c>
      <c r="I144" s="1">
        <f t="shared" si="85"/>
        <v>17</v>
      </c>
      <c r="J144" s="1">
        <f t="shared" si="85"/>
        <v>16</v>
      </c>
      <c r="K144" s="1">
        <f t="shared" si="85"/>
        <v>15</v>
      </c>
      <c r="L144" s="1">
        <f t="shared" si="85"/>
        <v>14</v>
      </c>
      <c r="M144" s="1">
        <f t="shared" si="85"/>
        <v>13</v>
      </c>
      <c r="N144" s="1">
        <f t="shared" si="85"/>
        <v>12</v>
      </c>
      <c r="O144" s="1">
        <f t="shared" si="85"/>
        <v>11</v>
      </c>
      <c r="P144" s="1">
        <f t="shared" si="85"/>
        <v>10</v>
      </c>
      <c r="Q144" s="1">
        <f t="shared" si="85"/>
        <v>9</v>
      </c>
      <c r="R144" s="1">
        <f t="shared" si="85"/>
        <v>8</v>
      </c>
      <c r="S144" s="1">
        <f t="shared" si="85"/>
        <v>7</v>
      </c>
      <c r="T144" s="1">
        <f t="shared" si="85"/>
        <v>6</v>
      </c>
      <c r="U144" s="1">
        <f t="shared" si="85"/>
        <v>5</v>
      </c>
      <c r="V144" s="1">
        <f t="shared" si="85"/>
        <v>4</v>
      </c>
      <c r="W144" s="1">
        <f t="shared" si="85"/>
        <v>3</v>
      </c>
      <c r="X144" s="1">
        <f>Y144+1</f>
        <v>2</v>
      </c>
      <c r="Y144">
        <f>$Y$8</f>
        <v>1</v>
      </c>
    </row>
    <row r="145" spans="5:31">
      <c r="E145" s="51" t="s">
        <v>17</v>
      </c>
      <c r="F145" s="56">
        <f t="shared" ref="F145:X145" si="86">(F$128+G$128)/2</f>
        <v>1124774.7140114915</v>
      </c>
      <c r="G145" s="56">
        <f t="shared" si="86"/>
        <v>1056122.9672747897</v>
      </c>
      <c r="H145" s="56">
        <f t="shared" si="86"/>
        <v>983719.79387263325</v>
      </c>
      <c r="I145" s="56">
        <f t="shared" si="86"/>
        <v>906149.05818625889</v>
      </c>
      <c r="J145" s="56">
        <f t="shared" si="86"/>
        <v>822525.45499805361</v>
      </c>
      <c r="K145" s="56">
        <f t="shared" si="86"/>
        <v>732714.14882117556</v>
      </c>
      <c r="L145" s="56">
        <f t="shared" si="86"/>
        <v>638721.86610311735</v>
      </c>
      <c r="M145" s="56">
        <f t="shared" si="86"/>
        <v>544893.05312245933</v>
      </c>
      <c r="N145" s="56">
        <f t="shared" si="86"/>
        <v>455671.84010222659</v>
      </c>
      <c r="O145" s="56">
        <f t="shared" si="86"/>
        <v>374148.62442554894</v>
      </c>
      <c r="P145" s="56">
        <f t="shared" si="86"/>
        <v>301954.68961421261</v>
      </c>
      <c r="Q145" s="56">
        <f t="shared" si="86"/>
        <v>239405.79028378357</v>
      </c>
      <c r="R145" s="56">
        <f t="shared" si="86"/>
        <v>186040.57839902732</v>
      </c>
      <c r="S145" s="56">
        <f t="shared" si="86"/>
        <v>141077.67797145544</v>
      </c>
      <c r="T145" s="56">
        <f t="shared" si="86"/>
        <v>103673.85312929997</v>
      </c>
      <c r="U145" s="56">
        <f t="shared" si="86"/>
        <v>73055.197643111896</v>
      </c>
      <c r="V145" s="56">
        <f t="shared" si="86"/>
        <v>48518.80695479978</v>
      </c>
      <c r="W145" s="56">
        <f t="shared" si="86"/>
        <v>29422.677642365365</v>
      </c>
      <c r="X145" s="56">
        <f t="shared" si="86"/>
        <v>15180.110431294535</v>
      </c>
      <c r="Y145" s="56">
        <f>(Y$128+Z$128)/2</f>
        <v>6751.0512946670551</v>
      </c>
      <c r="Z145" s="55"/>
      <c r="AA145" s="50" t="str">
        <f>E145</f>
        <v>Ave. Height - Feet</v>
      </c>
    </row>
    <row r="146" spans="5:31" ht="15">
      <c r="E146" s="10" t="s">
        <v>18</v>
      </c>
      <c r="F146" s="18" t="str">
        <f t="shared" ref="F146:Y146" si="87">IF(F145&lt;36000,80-0.00356*F145,"")</f>
        <v/>
      </c>
      <c r="G146" s="18" t="str">
        <f t="shared" si="87"/>
        <v/>
      </c>
      <c r="H146" s="18" t="str">
        <f t="shared" si="87"/>
        <v/>
      </c>
      <c r="I146" s="18" t="str">
        <f t="shared" si="87"/>
        <v/>
      </c>
      <c r="J146" s="18" t="str">
        <f t="shared" si="87"/>
        <v/>
      </c>
      <c r="K146" s="18" t="str">
        <f t="shared" si="87"/>
        <v/>
      </c>
      <c r="L146" s="18" t="str">
        <f t="shared" si="87"/>
        <v/>
      </c>
      <c r="M146" s="18" t="str">
        <f t="shared" si="87"/>
        <v/>
      </c>
      <c r="N146" s="18" t="str">
        <f t="shared" si="87"/>
        <v/>
      </c>
      <c r="O146" s="18" t="str">
        <f t="shared" si="87"/>
        <v/>
      </c>
      <c r="P146" s="18" t="str">
        <f t="shared" si="87"/>
        <v/>
      </c>
      <c r="Q146" s="18" t="str">
        <f t="shared" si="87"/>
        <v/>
      </c>
      <c r="R146" s="18" t="str">
        <f t="shared" si="87"/>
        <v/>
      </c>
      <c r="S146" s="18" t="str">
        <f t="shared" si="87"/>
        <v/>
      </c>
      <c r="T146" s="18" t="str">
        <f t="shared" si="87"/>
        <v/>
      </c>
      <c r="U146" s="18" t="str">
        <f t="shared" si="87"/>
        <v/>
      </c>
      <c r="V146" s="18" t="str">
        <f t="shared" si="87"/>
        <v/>
      </c>
      <c r="W146" s="18">
        <f t="shared" si="87"/>
        <v>-24.744732406820688</v>
      </c>
      <c r="X146" s="18">
        <f t="shared" si="87"/>
        <v>25.958806864591459</v>
      </c>
      <c r="Y146" s="18">
        <f t="shared" si="87"/>
        <v>55.966257390985284</v>
      </c>
      <c r="AA146" s="1" t="str">
        <f>E146</f>
        <v>Ambient Temperature - º F</v>
      </c>
      <c r="AD146" s="8" t="s">
        <v>64</v>
      </c>
    </row>
    <row r="147" spans="5:31" ht="15">
      <c r="E147" s="10" t="s">
        <v>18</v>
      </c>
      <c r="F147" t="str">
        <f t="shared" ref="F147:U147" si="88">IF(AND(F145&gt;=36000,F145&lt;=82000),-70,"")</f>
        <v/>
      </c>
      <c r="G147" t="str">
        <f t="shared" si="88"/>
        <v/>
      </c>
      <c r="H147" t="str">
        <f t="shared" si="88"/>
        <v/>
      </c>
      <c r="I147" t="str">
        <f t="shared" si="88"/>
        <v/>
      </c>
      <c r="J147" t="str">
        <f t="shared" si="88"/>
        <v/>
      </c>
      <c r="K147" t="str">
        <f t="shared" si="88"/>
        <v/>
      </c>
      <c r="L147" t="str">
        <f t="shared" si="88"/>
        <v/>
      </c>
      <c r="M147" t="str">
        <f t="shared" si="88"/>
        <v/>
      </c>
      <c r="N147" t="str">
        <f t="shared" si="88"/>
        <v/>
      </c>
      <c r="O147" t="str">
        <f t="shared" si="88"/>
        <v/>
      </c>
      <c r="P147" t="str">
        <f t="shared" si="88"/>
        <v/>
      </c>
      <c r="Q147" t="str">
        <f t="shared" si="88"/>
        <v/>
      </c>
      <c r="R147" t="str">
        <f t="shared" si="88"/>
        <v/>
      </c>
      <c r="S147" t="str">
        <f t="shared" si="88"/>
        <v/>
      </c>
      <c r="T147" t="str">
        <f t="shared" si="88"/>
        <v/>
      </c>
      <c r="U147">
        <f t="shared" si="88"/>
        <v>-70</v>
      </c>
      <c r="V147">
        <f>IF(AND(V145&gt;=36000,V145&lt;=82000),-70,"")</f>
        <v>-70</v>
      </c>
      <c r="W147" t="str">
        <f t="shared" ref="W147:X147" si="89">IF(AND(W145&gt;=36000,W145&lt;=82000),-70,"")</f>
        <v/>
      </c>
      <c r="X147" t="str">
        <f t="shared" si="89"/>
        <v/>
      </c>
      <c r="Y147" t="str">
        <f t="shared" ref="Y147" si="90">IF(AND(Y145&gt;=3600,Y145&lt;=82000)*Y145&gt;=36000,-70,"")</f>
        <v/>
      </c>
      <c r="AA147" s="1" t="str">
        <f t="shared" ref="AA147:AA163" si="91">E147</f>
        <v>Ambient Temperature - º F</v>
      </c>
      <c r="AD147" s="8" t="s">
        <v>64</v>
      </c>
    </row>
    <row r="148" spans="5:31" ht="15">
      <c r="E148" s="10" t="s">
        <v>18</v>
      </c>
      <c r="F148" s="15">
        <f t="shared" ref="F148:R148" si="92">IF(F145&gt;82000,-205.05+0.00164*F145,"")</f>
        <v>1639.5805309788461</v>
      </c>
      <c r="G148" s="15">
        <f t="shared" si="92"/>
        <v>1526.9916663306551</v>
      </c>
      <c r="H148" s="15">
        <f t="shared" si="92"/>
        <v>1408.2504619511185</v>
      </c>
      <c r="I148" s="15">
        <f t="shared" si="92"/>
        <v>1281.0344554254646</v>
      </c>
      <c r="J148" s="15">
        <f t="shared" si="92"/>
        <v>1143.8917461968078</v>
      </c>
      <c r="K148" s="15">
        <f t="shared" si="92"/>
        <v>996.60120406672786</v>
      </c>
      <c r="L148" s="15">
        <f t="shared" si="92"/>
        <v>842.45386040911239</v>
      </c>
      <c r="M148" s="15">
        <f t="shared" si="92"/>
        <v>688.57460712083321</v>
      </c>
      <c r="N148" s="15">
        <f t="shared" si="92"/>
        <v>542.25181776765157</v>
      </c>
      <c r="O148" s="15">
        <f t="shared" si="92"/>
        <v>408.55374405790025</v>
      </c>
      <c r="P148" s="15">
        <f t="shared" si="92"/>
        <v>290.15569096730866</v>
      </c>
      <c r="Q148" s="15">
        <f t="shared" si="92"/>
        <v>187.57549606540505</v>
      </c>
      <c r="R148" s="15">
        <f t="shared" si="92"/>
        <v>100.05654857440476</v>
      </c>
      <c r="S148" s="15">
        <f>IF(S145&gt;82000,-205.05+0.00164*S145,"")</f>
        <v>26.317391873186921</v>
      </c>
      <c r="T148" s="15">
        <f t="shared" ref="T148:Y148" si="93">IF(T145&gt;82000,-205.05+0.00164*T145,"")</f>
        <v>-35.02488086794807</v>
      </c>
      <c r="U148" s="15" t="str">
        <f t="shared" si="93"/>
        <v/>
      </c>
      <c r="V148" s="15" t="str">
        <f t="shared" si="93"/>
        <v/>
      </c>
      <c r="W148" s="15" t="str">
        <f t="shared" si="93"/>
        <v/>
      </c>
      <c r="X148" s="15" t="str">
        <f t="shared" si="93"/>
        <v/>
      </c>
      <c r="Y148" s="15" t="str">
        <f t="shared" si="93"/>
        <v/>
      </c>
      <c r="AA148" s="1" t="str">
        <f t="shared" si="91"/>
        <v>Ambient Temperature - º F</v>
      </c>
      <c r="AD148" s="8" t="s">
        <v>64</v>
      </c>
    </row>
    <row r="149" spans="5:31" ht="15">
      <c r="E149" s="10" t="s">
        <v>18</v>
      </c>
      <c r="F149" s="19">
        <f t="shared" ref="F149:X149" si="94">MAX(F146:F148)</f>
        <v>1639.5805309788461</v>
      </c>
      <c r="G149" s="19">
        <f t="shared" si="94"/>
        <v>1526.9916663306551</v>
      </c>
      <c r="H149" s="19">
        <f t="shared" si="94"/>
        <v>1408.2504619511185</v>
      </c>
      <c r="I149" s="19">
        <f t="shared" si="94"/>
        <v>1281.0344554254646</v>
      </c>
      <c r="J149" s="19">
        <f t="shared" si="94"/>
        <v>1143.8917461968078</v>
      </c>
      <c r="K149" s="19">
        <f t="shared" si="94"/>
        <v>996.60120406672786</v>
      </c>
      <c r="L149" s="19">
        <f t="shared" si="94"/>
        <v>842.45386040911239</v>
      </c>
      <c r="M149" s="19">
        <f t="shared" si="94"/>
        <v>688.57460712083321</v>
      </c>
      <c r="N149" s="19">
        <f t="shared" si="94"/>
        <v>542.25181776765157</v>
      </c>
      <c r="O149" s="19">
        <f t="shared" si="94"/>
        <v>408.55374405790025</v>
      </c>
      <c r="P149" s="19">
        <f t="shared" si="94"/>
        <v>290.15569096730866</v>
      </c>
      <c r="Q149" s="19">
        <f t="shared" si="94"/>
        <v>187.57549606540505</v>
      </c>
      <c r="R149" s="19">
        <f t="shared" si="94"/>
        <v>100.05654857440476</v>
      </c>
      <c r="S149" s="19">
        <f t="shared" si="94"/>
        <v>26.317391873186921</v>
      </c>
      <c r="T149" s="19">
        <f t="shared" si="94"/>
        <v>-35.02488086794807</v>
      </c>
      <c r="U149" s="19">
        <f t="shared" si="94"/>
        <v>-70</v>
      </c>
      <c r="V149" s="19">
        <f t="shared" si="94"/>
        <v>-70</v>
      </c>
      <c r="W149" s="19">
        <f t="shared" si="94"/>
        <v>-24.744732406820688</v>
      </c>
      <c r="X149" s="19">
        <f t="shared" si="94"/>
        <v>25.958806864591459</v>
      </c>
      <c r="Y149" s="19">
        <f>MAX(Y146:Y148)</f>
        <v>55.966257390985284</v>
      </c>
      <c r="Z149">
        <v>75</v>
      </c>
      <c r="AA149" s="1" t="str">
        <f t="shared" si="91"/>
        <v>Ambient Temperature - º F</v>
      </c>
      <c r="AD149" s="8" t="s">
        <v>64</v>
      </c>
    </row>
    <row r="150" spans="5:31">
      <c r="E150" s="10" t="s">
        <v>34</v>
      </c>
      <c r="F150" s="19">
        <f t="shared" ref="F150:X150" si="95">(G149+F149)/2</f>
        <v>1583.2860986547507</v>
      </c>
      <c r="G150" s="19">
        <f t="shared" si="95"/>
        <v>1467.6210641408868</v>
      </c>
      <c r="H150" s="19">
        <f t="shared" si="95"/>
        <v>1344.6424586882915</v>
      </c>
      <c r="I150" s="19">
        <f t="shared" si="95"/>
        <v>1212.4631008111362</v>
      </c>
      <c r="J150" s="19">
        <f t="shared" si="95"/>
        <v>1070.246475131768</v>
      </c>
      <c r="K150" s="19">
        <f t="shared" si="95"/>
        <v>919.52753223792013</v>
      </c>
      <c r="L150" s="19">
        <f t="shared" si="95"/>
        <v>765.5142337649728</v>
      </c>
      <c r="M150" s="19">
        <f t="shared" si="95"/>
        <v>615.41321244424239</v>
      </c>
      <c r="N150" s="19">
        <f t="shared" si="95"/>
        <v>475.40278091277594</v>
      </c>
      <c r="O150" s="19">
        <f t="shared" si="95"/>
        <v>349.35471751260445</v>
      </c>
      <c r="P150" s="19">
        <f t="shared" si="95"/>
        <v>238.86559351635685</v>
      </c>
      <c r="Q150" s="19">
        <f t="shared" si="95"/>
        <v>143.8160223199049</v>
      </c>
      <c r="R150" s="19">
        <f t="shared" si="95"/>
        <v>63.186970223795839</v>
      </c>
      <c r="S150" s="19">
        <f t="shared" si="95"/>
        <v>-4.3537444973805748</v>
      </c>
      <c r="T150" s="19">
        <f t="shared" si="95"/>
        <v>-52.512440433974035</v>
      </c>
      <c r="U150" s="19">
        <f t="shared" si="95"/>
        <v>-70</v>
      </c>
      <c r="V150" s="19">
        <f t="shared" si="95"/>
        <v>-47.372366203410344</v>
      </c>
      <c r="W150" s="19">
        <f t="shared" si="95"/>
        <v>0.60703722888538536</v>
      </c>
      <c r="X150" s="19">
        <f t="shared" si="95"/>
        <v>40.962532127788371</v>
      </c>
      <c r="Y150" s="19">
        <f>(Z149+Y149)/2</f>
        <v>65.483128695492638</v>
      </c>
      <c r="AA150" s="1" t="str">
        <f t="shared" si="91"/>
        <v>Averare Temp This Stage - º F</v>
      </c>
      <c r="AD150" s="8"/>
    </row>
    <row r="151" spans="5:31">
      <c r="E151" s="10"/>
      <c r="AA151" s="1"/>
      <c r="AD151" s="8"/>
    </row>
    <row r="152" spans="5:31">
      <c r="E152" s="10" t="s">
        <v>19</v>
      </c>
      <c r="F152" s="5" t="str">
        <f t="shared" ref="F152:X152" si="96">IF(F145&lt;36000,144*(14.696/101330)*101325* (  (1-2.25577* 10^-5*(F145/3.28)))^5.256,"")</f>
        <v/>
      </c>
      <c r="G152" s="5" t="str">
        <f t="shared" si="96"/>
        <v/>
      </c>
      <c r="H152" s="5" t="str">
        <f t="shared" si="96"/>
        <v/>
      </c>
      <c r="I152" s="5" t="str">
        <f t="shared" si="96"/>
        <v/>
      </c>
      <c r="J152" s="5" t="str">
        <f t="shared" si="96"/>
        <v/>
      </c>
      <c r="K152" s="5" t="str">
        <f t="shared" si="96"/>
        <v/>
      </c>
      <c r="L152" s="5" t="str">
        <f t="shared" si="96"/>
        <v/>
      </c>
      <c r="M152" s="5" t="str">
        <f t="shared" si="96"/>
        <v/>
      </c>
      <c r="N152" s="5" t="str">
        <f t="shared" si="96"/>
        <v/>
      </c>
      <c r="O152" s="5" t="str">
        <f t="shared" si="96"/>
        <v/>
      </c>
      <c r="P152" s="5" t="str">
        <f t="shared" si="96"/>
        <v/>
      </c>
      <c r="Q152" s="5" t="str">
        <f t="shared" si="96"/>
        <v/>
      </c>
      <c r="R152" s="5" t="str">
        <f t="shared" si="96"/>
        <v/>
      </c>
      <c r="S152" s="5" t="str">
        <f t="shared" si="96"/>
        <v/>
      </c>
      <c r="T152" s="5" t="str">
        <f t="shared" si="96"/>
        <v/>
      </c>
      <c r="U152" s="5" t="str">
        <f t="shared" si="96"/>
        <v/>
      </c>
      <c r="V152" s="5" t="str">
        <f t="shared" si="96"/>
        <v/>
      </c>
      <c r="W152" s="5">
        <f t="shared" si="96"/>
        <v>644.86094553436203</v>
      </c>
      <c r="X152" s="5">
        <f t="shared" si="96"/>
        <v>1185.371962338811</v>
      </c>
      <c r="Y152" s="5">
        <f>IF(Y145&lt;36000,144*(14.696/101330)*101325* (  (1-2.25577* 10^-5*(Y145/3.28)))^5.256,"")</f>
        <v>1648.2344057425366</v>
      </c>
      <c r="AA152" s="1" t="str">
        <f t="shared" si="91"/>
        <v>Ambient Pressure - psf</v>
      </c>
      <c r="AD152" s="8" t="s">
        <v>64</v>
      </c>
    </row>
    <row r="153" spans="5:31">
      <c r="E153" s="10" t="s">
        <v>19</v>
      </c>
      <c r="F153" s="12" t="str">
        <f t="shared" ref="F153:X153" si="97">IF(AND(F145&gt;=36000,F145&lt;=82000),  473.1*2.73^(1.73-0.000048*F145),"")</f>
        <v/>
      </c>
      <c r="G153" s="12" t="str">
        <f t="shared" si="97"/>
        <v/>
      </c>
      <c r="H153" s="12" t="str">
        <f t="shared" si="97"/>
        <v/>
      </c>
      <c r="I153" s="12" t="str">
        <f t="shared" si="97"/>
        <v/>
      </c>
      <c r="J153" s="12" t="str">
        <f t="shared" si="97"/>
        <v/>
      </c>
      <c r="K153" s="12" t="str">
        <f t="shared" si="97"/>
        <v/>
      </c>
      <c r="L153" s="12" t="str">
        <f t="shared" si="97"/>
        <v/>
      </c>
      <c r="M153" s="12" t="str">
        <f t="shared" si="97"/>
        <v/>
      </c>
      <c r="N153" s="12" t="str">
        <f t="shared" si="97"/>
        <v/>
      </c>
      <c r="O153" s="12" t="str">
        <f t="shared" si="97"/>
        <v/>
      </c>
      <c r="P153" s="12" t="str">
        <f t="shared" si="97"/>
        <v/>
      </c>
      <c r="Q153" s="12" t="str">
        <f t="shared" si="97"/>
        <v/>
      </c>
      <c r="R153" s="12" t="str">
        <f t="shared" si="97"/>
        <v/>
      </c>
      <c r="S153" s="12" t="str">
        <f t="shared" si="97"/>
        <v/>
      </c>
      <c r="T153" s="12" t="str">
        <f t="shared" si="97"/>
        <v/>
      </c>
      <c r="U153" s="12">
        <f t="shared" si="97"/>
        <v>79.441018765626538</v>
      </c>
      <c r="V153" s="12">
        <f t="shared" si="97"/>
        <v>259.25906255044572</v>
      </c>
      <c r="W153" s="12" t="str">
        <f t="shared" si="97"/>
        <v/>
      </c>
      <c r="X153" s="12" t="str">
        <f t="shared" si="97"/>
        <v/>
      </c>
      <c r="Y153" s="12" t="str">
        <f>IF(AND(Y145&gt;=36000,Y145&lt;=82000),  473.1*2.73^(1.73-0.000048*Y145),"")</f>
        <v/>
      </c>
      <c r="AA153" s="1" t="str">
        <f t="shared" si="91"/>
        <v>Ambient Pressure - psf</v>
      </c>
      <c r="AD153" s="8" t="s">
        <v>64</v>
      </c>
    </row>
    <row r="154" spans="5:31">
      <c r="E154" s="10" t="s">
        <v>19</v>
      </c>
      <c r="F154" s="16">
        <f t="shared" ref="F154:Y154" si="98">IF(F145&gt;82000,51.97*((F149+459.7)/389.98)^-11.388,"")</f>
        <v>2.4592587355880573E-7</v>
      </c>
      <c r="G154" s="16">
        <f t="shared" si="98"/>
        <v>4.6071572370375283E-7</v>
      </c>
      <c r="H154" s="16">
        <f t="shared" si="98"/>
        <v>9.294674159965868E-7</v>
      </c>
      <c r="I154" s="16">
        <f t="shared" si="98"/>
        <v>2.0752997078261876E-6</v>
      </c>
      <c r="J154" s="17">
        <f t="shared" si="98"/>
        <v>5.283655499781185E-6</v>
      </c>
      <c r="K154" s="17">
        <f t="shared" si="98"/>
        <v>1.5828438158307859E-5</v>
      </c>
      <c r="L154" s="17">
        <f t="shared" si="98"/>
        <v>5.6593756626193358E-5</v>
      </c>
      <c r="M154" s="17">
        <f t="shared" si="98"/>
        <v>2.369963739036028E-4</v>
      </c>
      <c r="N154" s="14">
        <f t="shared" si="98"/>
        <v>1.1191776829809399E-3</v>
      </c>
      <c r="O154" s="14">
        <f t="shared" si="98"/>
        <v>5.7178743709279832E-3</v>
      </c>
      <c r="P154" s="14">
        <f t="shared" si="98"/>
        <v>3.0359657810058643E-2</v>
      </c>
      <c r="Q154" s="14">
        <f t="shared" si="98"/>
        <v>0.16212851400784459</v>
      </c>
      <c r="R154" s="14">
        <f t="shared" si="98"/>
        <v>0.84786777687554593</v>
      </c>
      <c r="S154" s="14">
        <f t="shared" si="98"/>
        <v>4.2359615443667522</v>
      </c>
      <c r="T154" s="14">
        <f>IF(T145&gt;82000,51.97*((T149+459.7)/389.98)^-11.388,"")</f>
        <v>19.689368713258009</v>
      </c>
      <c r="U154" s="14" t="str">
        <f t="shared" si="98"/>
        <v/>
      </c>
      <c r="V154" s="14" t="str">
        <f t="shared" si="98"/>
        <v/>
      </c>
      <c r="W154" s="14" t="str">
        <f t="shared" si="98"/>
        <v/>
      </c>
      <c r="X154" s="14" t="str">
        <f t="shared" si="98"/>
        <v/>
      </c>
      <c r="Y154" s="14" t="str">
        <f t="shared" si="98"/>
        <v/>
      </c>
      <c r="AA154" s="1" t="str">
        <f t="shared" si="91"/>
        <v>Ambient Pressure - psf</v>
      </c>
      <c r="AD154" s="8" t="s">
        <v>64</v>
      </c>
    </row>
    <row r="155" spans="5:31">
      <c r="E155" s="10" t="s">
        <v>19</v>
      </c>
      <c r="F155" s="20">
        <f t="shared" ref="F155:Y155" si="99">MAX(F152:F154)</f>
        <v>2.4592587355880573E-7</v>
      </c>
      <c r="G155" s="20">
        <f t="shared" si="99"/>
        <v>4.6071572370375283E-7</v>
      </c>
      <c r="H155" s="20">
        <f t="shared" si="99"/>
        <v>9.294674159965868E-7</v>
      </c>
      <c r="I155" s="20">
        <f t="shared" si="99"/>
        <v>2.0752997078261876E-6</v>
      </c>
      <c r="J155" s="20">
        <f t="shared" si="99"/>
        <v>5.283655499781185E-6</v>
      </c>
      <c r="K155" s="20">
        <f t="shared" si="99"/>
        <v>1.5828438158307859E-5</v>
      </c>
      <c r="L155" s="20">
        <f t="shared" si="99"/>
        <v>5.6593756626193358E-5</v>
      </c>
      <c r="M155" s="20">
        <f t="shared" si="99"/>
        <v>2.369963739036028E-4</v>
      </c>
      <c r="N155" s="20">
        <f t="shared" si="99"/>
        <v>1.1191776829809399E-3</v>
      </c>
      <c r="O155" s="20">
        <f t="shared" si="99"/>
        <v>5.7178743709279832E-3</v>
      </c>
      <c r="P155" s="20">
        <f t="shared" si="99"/>
        <v>3.0359657810058643E-2</v>
      </c>
      <c r="Q155" s="20">
        <f t="shared" si="99"/>
        <v>0.16212851400784459</v>
      </c>
      <c r="R155" s="20">
        <f t="shared" si="99"/>
        <v>0.84786777687554593</v>
      </c>
      <c r="S155" s="20">
        <f t="shared" si="99"/>
        <v>4.2359615443667522</v>
      </c>
      <c r="T155" s="20">
        <f t="shared" si="99"/>
        <v>19.689368713258009</v>
      </c>
      <c r="U155" s="20">
        <f t="shared" si="99"/>
        <v>79.441018765626538</v>
      </c>
      <c r="V155" s="20">
        <f t="shared" si="99"/>
        <v>259.25906255044572</v>
      </c>
      <c r="W155" s="20">
        <f t="shared" si="99"/>
        <v>644.86094553436203</v>
      </c>
      <c r="X155" s="20">
        <f t="shared" si="99"/>
        <v>1185.371962338811</v>
      </c>
      <c r="Y155" s="20">
        <f t="shared" si="99"/>
        <v>1648.2344057425366</v>
      </c>
      <c r="Z155" s="20">
        <f>Z156*144</f>
        <v>2116.7999999999997</v>
      </c>
      <c r="AA155" s="1" t="str">
        <f t="shared" si="91"/>
        <v>Ambient Pressure - psf</v>
      </c>
      <c r="AD155" s="8"/>
    </row>
    <row r="156" spans="5:31">
      <c r="E156" s="10" t="s">
        <v>35</v>
      </c>
      <c r="F156" s="19">
        <f t="shared" ref="F156:X156" si="100">(G155+F155)/2</f>
        <v>3.5332079863127928E-7</v>
      </c>
      <c r="G156" s="19">
        <f t="shared" si="100"/>
        <v>6.9509156985016987E-7</v>
      </c>
      <c r="H156" s="19">
        <f t="shared" si="100"/>
        <v>1.5023835619113873E-6</v>
      </c>
      <c r="I156" s="19">
        <f t="shared" si="100"/>
        <v>3.6794776038036863E-6</v>
      </c>
      <c r="J156" s="19">
        <f t="shared" si="100"/>
        <v>1.0556046829044521E-5</v>
      </c>
      <c r="K156" s="19">
        <f t="shared" si="100"/>
        <v>3.6211097392250605E-5</v>
      </c>
      <c r="L156" s="19">
        <f t="shared" si="100"/>
        <v>1.4679506526489808E-4</v>
      </c>
      <c r="M156" s="19">
        <f t="shared" si="100"/>
        <v>6.7808702844227129E-4</v>
      </c>
      <c r="N156" s="19">
        <f t="shared" si="100"/>
        <v>3.4185260269544615E-3</v>
      </c>
      <c r="O156" s="19">
        <f t="shared" si="100"/>
        <v>1.8038766090493312E-2</v>
      </c>
      <c r="P156" s="19">
        <f t="shared" si="100"/>
        <v>9.6244085908951615E-2</v>
      </c>
      <c r="Q156" s="19">
        <f t="shared" si="100"/>
        <v>0.5049981454416953</v>
      </c>
      <c r="R156" s="19">
        <f t="shared" si="100"/>
        <v>2.5419146606211491</v>
      </c>
      <c r="S156" s="19">
        <f t="shared" si="100"/>
        <v>11.962665128812381</v>
      </c>
      <c r="T156" s="19">
        <f t="shared" si="100"/>
        <v>49.565193739442272</v>
      </c>
      <c r="U156" s="19">
        <f t="shared" si="100"/>
        <v>169.35004065803614</v>
      </c>
      <c r="V156" s="19">
        <f t="shared" si="100"/>
        <v>452.06000404240388</v>
      </c>
      <c r="W156" s="19">
        <f t="shared" si="100"/>
        <v>915.11645393658659</v>
      </c>
      <c r="X156" s="19">
        <f t="shared" si="100"/>
        <v>1416.8031840406738</v>
      </c>
      <c r="Y156" s="19">
        <f>(Z155+Y155)/2</f>
        <v>1882.5172028712682</v>
      </c>
      <c r="Z156">
        <v>14.7</v>
      </c>
      <c r="AA156" s="1" t="str">
        <f t="shared" si="91"/>
        <v>Average Pressure this Stage - psf</v>
      </c>
    </row>
    <row r="157" spans="5:31">
      <c r="E157" s="10" t="s">
        <v>104</v>
      </c>
      <c r="F157" s="17">
        <f t="shared" ref="F157:Y157" si="101">F155/144</f>
        <v>1.7078185663805954E-9</v>
      </c>
      <c r="G157" s="17">
        <f t="shared" si="101"/>
        <v>3.1994147479427279E-9</v>
      </c>
      <c r="H157" s="17">
        <f t="shared" si="101"/>
        <v>6.4546348333096302E-9</v>
      </c>
      <c r="I157" s="17">
        <f t="shared" si="101"/>
        <v>1.4411803526570747E-8</v>
      </c>
      <c r="J157" s="17">
        <f t="shared" si="101"/>
        <v>3.6692052081813786E-8</v>
      </c>
      <c r="K157" s="17">
        <f t="shared" si="101"/>
        <v>1.0991970943269346E-7</v>
      </c>
      <c r="L157" s="17">
        <f t="shared" si="101"/>
        <v>3.9301219879300943E-7</v>
      </c>
      <c r="M157" s="17">
        <f t="shared" si="101"/>
        <v>1.6458081521083528E-6</v>
      </c>
      <c r="N157" s="17">
        <f t="shared" si="101"/>
        <v>7.772067242923194E-6</v>
      </c>
      <c r="O157" s="17">
        <f t="shared" si="101"/>
        <v>3.9707460909222102E-5</v>
      </c>
      <c r="P157" s="17">
        <f t="shared" si="101"/>
        <v>2.1083095701429614E-4</v>
      </c>
      <c r="Q157" s="17">
        <f t="shared" si="101"/>
        <v>1.1258924583878096E-3</v>
      </c>
      <c r="R157" s="17">
        <f t="shared" si="101"/>
        <v>5.8879706727468471E-3</v>
      </c>
      <c r="S157" s="17">
        <f t="shared" si="101"/>
        <v>2.9416399613658002E-2</v>
      </c>
      <c r="T157" s="17">
        <f t="shared" si="101"/>
        <v>0.13673172717540283</v>
      </c>
      <c r="U157" s="17">
        <f t="shared" si="101"/>
        <v>0.55167374142796211</v>
      </c>
      <c r="V157" s="17">
        <f t="shared" si="101"/>
        <v>1.8004101566003174</v>
      </c>
      <c r="W157" s="17">
        <f t="shared" si="101"/>
        <v>4.4782010106552921</v>
      </c>
      <c r="X157" s="17">
        <f t="shared" si="101"/>
        <v>8.2317497384639662</v>
      </c>
      <c r="Y157" s="17">
        <f t="shared" si="101"/>
        <v>11.446072262100948</v>
      </c>
      <c r="AA157" t="s">
        <v>22</v>
      </c>
    </row>
    <row r="158" spans="5:31">
      <c r="E158" s="10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AA158" s="1"/>
    </row>
    <row r="159" spans="5:31">
      <c r="E159" s="10" t="s">
        <v>20</v>
      </c>
      <c r="F159" s="23">
        <f t="shared" ref="F159:Y159" si="102">F155/(1718*(F149+459.7))</f>
        <v>6.8188413353190218E-14</v>
      </c>
      <c r="G159" s="23">
        <f t="shared" si="102"/>
        <v>1.3498310220760671E-13</v>
      </c>
      <c r="H159" s="23">
        <f t="shared" si="102"/>
        <v>2.896314079272023E-13</v>
      </c>
      <c r="I159" s="23">
        <f t="shared" si="102"/>
        <v>6.9394514194453514E-13</v>
      </c>
      <c r="J159" s="23">
        <f t="shared" si="102"/>
        <v>1.9178627392571506E-12</v>
      </c>
      <c r="K159" s="23">
        <f t="shared" si="102"/>
        <v>6.3265026704610407E-12</v>
      </c>
      <c r="L159" s="23">
        <f t="shared" si="102"/>
        <v>2.529781780997363E-11</v>
      </c>
      <c r="M159" s="23">
        <f t="shared" si="102"/>
        <v>1.2013589295787331E-10</v>
      </c>
      <c r="N159" s="23">
        <f t="shared" si="102"/>
        <v>6.5017317077972919E-10</v>
      </c>
      <c r="O159" s="23">
        <f t="shared" si="102"/>
        <v>3.8332291745238767E-9</v>
      </c>
      <c r="P159" s="23">
        <f t="shared" si="102"/>
        <v>2.3566550638776921E-8</v>
      </c>
      <c r="Q159" s="23">
        <f t="shared" si="102"/>
        <v>1.4579649263390223E-7</v>
      </c>
      <c r="R159" s="23">
        <f t="shared" si="102"/>
        <v>8.8166943988160625E-7</v>
      </c>
      <c r="S159" s="23">
        <f t="shared" si="102"/>
        <v>5.0731422348958528E-6</v>
      </c>
      <c r="T159" s="23">
        <f t="shared" si="102"/>
        <v>2.6986826384176515E-5</v>
      </c>
      <c r="U159" s="23">
        <f t="shared" si="102"/>
        <v>1.1865641963569263E-4</v>
      </c>
      <c r="V159" s="23">
        <f t="shared" si="102"/>
        <v>3.87240151225915E-4</v>
      </c>
      <c r="W159" s="23">
        <f t="shared" si="102"/>
        <v>8.6297521231139588E-4</v>
      </c>
      <c r="X159" s="23">
        <f t="shared" si="102"/>
        <v>1.4206929409319867E-3</v>
      </c>
      <c r="Y159" s="23">
        <f t="shared" si="102"/>
        <v>1.8604889789151516E-3</v>
      </c>
      <c r="AA159" s="1" t="str">
        <f t="shared" si="91"/>
        <v>Air density - slugs/CF</v>
      </c>
      <c r="AE159" s="8" t="s">
        <v>64</v>
      </c>
    </row>
    <row r="160" spans="5:31">
      <c r="F160" s="11">
        <f t="shared" ref="F160:O160" si="103">F159*515.4</f>
        <v>3.5144308242234239E-11</v>
      </c>
      <c r="G160" s="11">
        <f t="shared" si="103"/>
        <v>6.9570290877800497E-11</v>
      </c>
      <c r="H160" s="11">
        <f t="shared" si="103"/>
        <v>1.4927602764568006E-10</v>
      </c>
      <c r="I160" s="11">
        <f t="shared" si="103"/>
        <v>3.5765932615821341E-10</v>
      </c>
      <c r="J160" s="11">
        <f t="shared" si="103"/>
        <v>9.8846645581313532E-10</v>
      </c>
      <c r="K160" s="11">
        <f t="shared" si="103"/>
        <v>3.2606794763556202E-9</v>
      </c>
      <c r="L160" s="11">
        <f t="shared" si="103"/>
        <v>1.3038495299260408E-8</v>
      </c>
      <c r="M160" s="11">
        <f t="shared" si="103"/>
        <v>6.1918039230487904E-8</v>
      </c>
      <c r="N160" s="11">
        <f t="shared" si="103"/>
        <v>3.350992522198724E-7</v>
      </c>
      <c r="O160" s="11">
        <f t="shared" si="103"/>
        <v>1.9756463165496059E-6</v>
      </c>
      <c r="P160" s="11">
        <f t="shared" ref="P160:X160" si="104">P159*515.4</f>
        <v>1.2146200199225624E-5</v>
      </c>
      <c r="Q160" s="11">
        <f t="shared" si="104"/>
        <v>7.5143512303513205E-5</v>
      </c>
      <c r="R160" s="11">
        <f t="shared" si="104"/>
        <v>4.5441242931497985E-4</v>
      </c>
      <c r="S160" s="11">
        <f t="shared" si="104"/>
        <v>2.6146975078653223E-3</v>
      </c>
      <c r="T160" s="11">
        <f t="shared" si="104"/>
        <v>1.3909010318404575E-2</v>
      </c>
      <c r="U160" s="11">
        <f t="shared" si="104"/>
        <v>6.1155518680235978E-2</v>
      </c>
      <c r="V160" s="11">
        <f t="shared" si="104"/>
        <v>0.19958357394183657</v>
      </c>
      <c r="W160" s="11">
        <f t="shared" si="104"/>
        <v>0.44477742442529339</v>
      </c>
      <c r="X160" s="11">
        <f t="shared" si="104"/>
        <v>0.7322251417563459</v>
      </c>
      <c r="Y160" s="11">
        <f>Y159*515.4</f>
        <v>0.95889601973286909</v>
      </c>
      <c r="AA160" s="1" t="s">
        <v>60</v>
      </c>
      <c r="AE160" s="8"/>
    </row>
    <row r="161" spans="2:31">
      <c r="F161" s="24">
        <f t="shared" ref="F161:O161" si="105">F160*1000/1000000</f>
        <v>3.5144308242234234E-14</v>
      </c>
      <c r="G161" s="24">
        <f t="shared" si="105"/>
        <v>6.957029087780049E-14</v>
      </c>
      <c r="H161" s="24">
        <f t="shared" si="105"/>
        <v>1.4927602764568006E-13</v>
      </c>
      <c r="I161" s="24">
        <f t="shared" si="105"/>
        <v>3.5765932615821338E-13</v>
      </c>
      <c r="J161" s="24">
        <f t="shared" si="105"/>
        <v>9.8846645581313524E-13</v>
      </c>
      <c r="K161" s="24">
        <f t="shared" si="105"/>
        <v>3.2606794763556201E-12</v>
      </c>
      <c r="L161" s="24">
        <f t="shared" si="105"/>
        <v>1.3038495299260408E-11</v>
      </c>
      <c r="M161" s="24">
        <f t="shared" si="105"/>
        <v>6.1918039230487897E-11</v>
      </c>
      <c r="N161" s="24">
        <f t="shared" si="105"/>
        <v>3.3509925221987243E-10</v>
      </c>
      <c r="O161" s="24">
        <f t="shared" si="105"/>
        <v>1.9756463165496055E-9</v>
      </c>
      <c r="P161" s="24">
        <f t="shared" ref="P161:X161" si="106">P160*1000/1000000</f>
        <v>1.2146200199225624E-8</v>
      </c>
      <c r="Q161" s="23">
        <f t="shared" si="106"/>
        <v>7.5143512303513204E-8</v>
      </c>
      <c r="R161" s="23">
        <f t="shared" si="106"/>
        <v>4.5441242931497982E-7</v>
      </c>
      <c r="S161" s="23">
        <f t="shared" si="106"/>
        <v>2.6146975078653222E-6</v>
      </c>
      <c r="T161" s="23">
        <f t="shared" si="106"/>
        <v>1.3909010318404575E-5</v>
      </c>
      <c r="U161" s="23">
        <f t="shared" si="106"/>
        <v>6.1155518680235975E-5</v>
      </c>
      <c r="V161" s="23">
        <f t="shared" si="106"/>
        <v>1.9958357394183655E-4</v>
      </c>
      <c r="W161" s="23">
        <f t="shared" si="106"/>
        <v>4.4477742442529335E-4</v>
      </c>
      <c r="X161" s="23">
        <f t="shared" si="106"/>
        <v>7.322251417563459E-4</v>
      </c>
      <c r="Y161" s="23">
        <f>Y160*1000/1000000</f>
        <v>9.5889601973286908E-4</v>
      </c>
      <c r="AA161" s="1" t="s">
        <v>21</v>
      </c>
    </row>
    <row r="162" spans="2:31">
      <c r="E162" s="10" t="s">
        <v>65</v>
      </c>
      <c r="F162" s="15">
        <f>$G$3*(F159*F126^2)*F116/2/1000</f>
        <v>6.2229230837216662E-9</v>
      </c>
      <c r="G162" s="15">
        <f>$G$3*(G159*G126^2)*G116/2/1000</f>
        <v>1.7283698151035197E-8</v>
      </c>
      <c r="H162" s="15">
        <f>$G$3*(H159*H126^2)*H116/2/1000</f>
        <v>5.3363006418404777E-8</v>
      </c>
      <c r="I162" s="15">
        <f>$G$3*(I159*I126^2)*I116/2/1000</f>
        <v>1.839918206695772E-7</v>
      </c>
      <c r="J162" s="15">
        <f>$G$3*(J159*J126^2)*J116/2/1000</f>
        <v>7.2336100393265646E-7</v>
      </c>
      <c r="K162" s="15">
        <f>$G$3*(K159*K126^2)*K116/2/1000</f>
        <v>3.3391128349295815E-6</v>
      </c>
      <c r="L162" s="15">
        <f>$G$3*(L159*L126^2)*L116/2/1000</f>
        <v>1.7669342243139078E-5</v>
      </c>
      <c r="M162" s="15">
        <f>$G$3*(M159*M126^2)*M116/2/1000</f>
        <v>9.6887343203078813E-5</v>
      </c>
      <c r="N162" s="15">
        <f>$G$3*(N159*N126^2)*N116/2/1000</f>
        <v>5.4346463903517017E-4</v>
      </c>
      <c r="O162" s="15">
        <f>$G$3*(O159*O126^2)*O116/2/1000</f>
        <v>3.035852807299593E-3</v>
      </c>
      <c r="P162" s="15">
        <f>$G$3*(P159*P126^2)*P116/2/1000</f>
        <v>1.6417903921283863E-2</v>
      </c>
      <c r="Q162" s="15">
        <f>$G$3*(Q159*Q126^2)*Q116/2/1000</f>
        <v>8.5411929905654854E-2</v>
      </c>
      <c r="R162" s="15">
        <f>$G$3*(R159*R126^2)*R116/2/1000</f>
        <v>0.41833208222105683</v>
      </c>
      <c r="S162" s="15">
        <f>$G$3*(S159*S126^2)*S116/2/1000</f>
        <v>1.8961125662631424</v>
      </c>
      <c r="T162" s="15">
        <f>$G$3*(T159*T126^2)*T116/2/1000</f>
        <v>7.7089228177471956</v>
      </c>
      <c r="U162" s="15">
        <f>$G$3*(U159*U126^2)*U116/2/1000</f>
        <v>24.95311566699192</v>
      </c>
      <c r="V162" s="15">
        <f>$G$3*(V159*V126^2)*V116/2/1000</f>
        <v>57.178862604518713</v>
      </c>
      <c r="W162" s="15">
        <f>$G$3*(W159*W126^2)*W116/2/1000</f>
        <v>84.011980863949319</v>
      </c>
      <c r="X162" s="15">
        <f>$G$3*(X159*X126^2)*X116/2/1000</f>
        <v>83.314864224048023</v>
      </c>
      <c r="Y162" s="15">
        <f>$G$3*(Y159*Y126^2)*Y116/2/1000</f>
        <v>57.082389435589221</v>
      </c>
      <c r="AA162" s="1" t="str">
        <f t="shared" si="91"/>
        <v>Drag - #</v>
      </c>
      <c r="AE162" s="15" t="s">
        <v>67</v>
      </c>
    </row>
    <row r="163" spans="2:31">
      <c r="E163" s="51" t="s">
        <v>66</v>
      </c>
      <c r="F163" s="56">
        <f t="shared" ref="F163:X163" si="107">(G162+F162)/2</f>
        <v>1.1753310617378432E-8</v>
      </c>
      <c r="G163" s="56">
        <f t="shared" si="107"/>
        <v>3.5323352284719985E-8</v>
      </c>
      <c r="H163" s="56">
        <f t="shared" si="107"/>
        <v>1.1867741354399099E-7</v>
      </c>
      <c r="I163" s="56">
        <f t="shared" si="107"/>
        <v>4.536764123011168E-7</v>
      </c>
      <c r="J163" s="56">
        <f t="shared" si="107"/>
        <v>2.0312369194311189E-6</v>
      </c>
      <c r="K163" s="56">
        <f t="shared" si="107"/>
        <v>1.050422753903433E-5</v>
      </c>
      <c r="L163" s="56">
        <f t="shared" si="107"/>
        <v>5.7278342723108942E-5</v>
      </c>
      <c r="M163" s="56">
        <f t="shared" si="107"/>
        <v>3.2017599111912451E-4</v>
      </c>
      <c r="N163" s="56">
        <f t="shared" si="107"/>
        <v>1.7896587231673816E-3</v>
      </c>
      <c r="O163" s="56">
        <f t="shared" si="107"/>
        <v>9.7268783642917283E-3</v>
      </c>
      <c r="P163" s="56">
        <f t="shared" si="107"/>
        <v>5.091491691346936E-2</v>
      </c>
      <c r="Q163" s="56">
        <f t="shared" si="107"/>
        <v>0.25187200606335586</v>
      </c>
      <c r="R163" s="56">
        <f t="shared" si="107"/>
        <v>1.1572223242420996</v>
      </c>
      <c r="S163" s="56">
        <f t="shared" si="107"/>
        <v>4.8025176920051686</v>
      </c>
      <c r="T163" s="56">
        <f t="shared" si="107"/>
        <v>16.331019242369557</v>
      </c>
      <c r="U163" s="56">
        <f t="shared" si="107"/>
        <v>41.065989135755316</v>
      </c>
      <c r="V163" s="56">
        <f t="shared" si="107"/>
        <v>70.595421734234009</v>
      </c>
      <c r="W163" s="56">
        <f t="shared" si="107"/>
        <v>83.663422543998678</v>
      </c>
      <c r="X163" s="56">
        <f t="shared" si="107"/>
        <v>70.198626829818622</v>
      </c>
      <c r="Y163" s="56">
        <f>(Z162+Y162)/2</f>
        <v>28.54119471779461</v>
      </c>
      <c r="Z163" s="55"/>
      <c r="AA163" s="50" t="str">
        <f t="shared" si="91"/>
        <v xml:space="preserve"> Average Drag - K</v>
      </c>
      <c r="AE163" t="s">
        <v>103</v>
      </c>
    </row>
    <row r="164" spans="2:31" ht="15" thickBot="1"/>
    <row r="165" spans="2:31" ht="21.6" thickBot="1">
      <c r="B165" s="26" t="s">
        <v>69</v>
      </c>
      <c r="C165" s="27"/>
      <c r="D165" s="27"/>
      <c r="E165" s="2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1"/>
      <c r="AA165" s="13"/>
    </row>
    <row r="166" spans="2:31" ht="21">
      <c r="B166" s="32"/>
      <c r="C166" s="33"/>
      <c r="D166" s="33"/>
      <c r="E166" s="10" t="s">
        <v>91</v>
      </c>
      <c r="F166" s="1">
        <f t="shared" ref="F166:W166" si="108">G166+1</f>
        <v>20</v>
      </c>
      <c r="G166" s="1">
        <f t="shared" si="108"/>
        <v>19</v>
      </c>
      <c r="H166" s="1">
        <f t="shared" si="108"/>
        <v>18</v>
      </c>
      <c r="I166" s="1">
        <f t="shared" si="108"/>
        <v>17</v>
      </c>
      <c r="J166" s="1">
        <f t="shared" si="108"/>
        <v>16</v>
      </c>
      <c r="K166" s="1">
        <f t="shared" si="108"/>
        <v>15</v>
      </c>
      <c r="L166" s="1">
        <f t="shared" si="108"/>
        <v>14</v>
      </c>
      <c r="M166" s="1">
        <f t="shared" si="108"/>
        <v>13</v>
      </c>
      <c r="N166" s="1">
        <f t="shared" si="108"/>
        <v>12</v>
      </c>
      <c r="O166" s="1">
        <f t="shared" si="108"/>
        <v>11</v>
      </c>
      <c r="P166" s="1">
        <f t="shared" si="108"/>
        <v>10</v>
      </c>
      <c r="Q166" s="1">
        <f t="shared" si="108"/>
        <v>9</v>
      </c>
      <c r="R166" s="1">
        <f t="shared" si="108"/>
        <v>8</v>
      </c>
      <c r="S166" s="1">
        <f t="shared" si="108"/>
        <v>7</v>
      </c>
      <c r="T166" s="1">
        <f t="shared" si="108"/>
        <v>6</v>
      </c>
      <c r="U166" s="1">
        <f t="shared" si="108"/>
        <v>5</v>
      </c>
      <c r="V166" s="1">
        <f t="shared" si="108"/>
        <v>4</v>
      </c>
      <c r="W166" s="1">
        <f t="shared" si="108"/>
        <v>3</v>
      </c>
      <c r="X166" s="1">
        <f>Y166+1</f>
        <v>2</v>
      </c>
      <c r="Y166">
        <f>$Y$8</f>
        <v>1</v>
      </c>
    </row>
    <row r="167" spans="2:31" ht="15" customHeight="1">
      <c r="B167" s="32"/>
      <c r="C167" s="33"/>
      <c r="D167" s="33"/>
      <c r="E167" s="10" t="s">
        <v>61</v>
      </c>
      <c r="F167" s="8">
        <f t="shared" ref="F167:X167" si="109">F38*SIN((F41/(180/PI())))</f>
        <v>2.6527657784670939</v>
      </c>
      <c r="G167" s="8">
        <f t="shared" si="109"/>
        <v>3.4032192552702849</v>
      </c>
      <c r="H167" s="8">
        <f t="shared" si="109"/>
        <v>4.2583871706971772</v>
      </c>
      <c r="I167" s="8">
        <f t="shared" si="109"/>
        <v>5.2357219311850534</v>
      </c>
      <c r="J167" s="8">
        <f t="shared" si="109"/>
        <v>6.3177711302966308</v>
      </c>
      <c r="K167" s="8">
        <f t="shared" ref="K167:U167" si="110">K38*SIN((K41/(180/PI())))</f>
        <v>37.476969381493014</v>
      </c>
      <c r="L167" s="8">
        <f t="shared" si="110"/>
        <v>172.37815223613703</v>
      </c>
      <c r="M167" s="8">
        <f t="shared" si="110"/>
        <v>335.54221526536196</v>
      </c>
      <c r="N167" s="8">
        <f t="shared" si="110"/>
        <v>514.78186577595318</v>
      </c>
      <c r="O167" s="8">
        <f t="shared" si="110"/>
        <v>693.32545708303724</v>
      </c>
      <c r="P167" s="8">
        <f t="shared" si="110"/>
        <v>835.52583974004403</v>
      </c>
      <c r="Q167" s="8">
        <f t="shared" si="110"/>
        <v>967.30505184708488</v>
      </c>
      <c r="R167" s="8">
        <f t="shared" si="110"/>
        <v>1083</v>
      </c>
      <c r="S167" s="8">
        <f t="shared" si="110"/>
        <v>1201</v>
      </c>
      <c r="T167" s="8">
        <f t="shared" si="110"/>
        <v>1326</v>
      </c>
      <c r="U167" s="8">
        <f t="shared" si="110"/>
        <v>1457</v>
      </c>
      <c r="V167" s="8">
        <f t="shared" si="109"/>
        <v>1594</v>
      </c>
      <c r="W167" s="8">
        <f t="shared" si="109"/>
        <v>1738</v>
      </c>
      <c r="X167" s="8">
        <f t="shared" si="109"/>
        <v>1888</v>
      </c>
      <c r="Y167" s="8">
        <f>Y38*SIN((Y41/(180/PI())))</f>
        <v>2044</v>
      </c>
      <c r="AA167" s="13" t="str">
        <f>E167</f>
        <v>Axial Thrust Y - K</v>
      </c>
    </row>
    <row r="168" spans="2:31" ht="15" customHeight="1">
      <c r="B168" s="32"/>
      <c r="C168" s="33"/>
      <c r="D168" s="33"/>
      <c r="E168" s="10" t="s">
        <v>38</v>
      </c>
      <c r="F168" s="8">
        <f t="shared" ref="F168:X168" si="111">F167-F$113-F162</f>
        <v>-5.707234227755829</v>
      </c>
      <c r="G168" s="8">
        <f t="shared" si="111"/>
        <v>-19.481780762013418</v>
      </c>
      <c r="H168" s="8">
        <f t="shared" si="111"/>
        <v>-36.921612882665826</v>
      </c>
      <c r="I168" s="8">
        <f t="shared" si="111"/>
        <v>-58.54427825280677</v>
      </c>
      <c r="J168" s="8">
        <f t="shared" si="111"/>
        <v>-84.872229593064361</v>
      </c>
      <c r="K168" s="8">
        <f t="shared" si="111"/>
        <v>-86.413033957619817</v>
      </c>
      <c r="L168" s="8">
        <f t="shared" si="111"/>
        <v>10.018134566794769</v>
      </c>
      <c r="M168" s="8">
        <f t="shared" si="111"/>
        <v>128.40711837801877</v>
      </c>
      <c r="N168" s="8">
        <f t="shared" si="111"/>
        <v>256.0613223113142</v>
      </c>
      <c r="O168" s="8">
        <f t="shared" si="111"/>
        <v>375.72742123022994</v>
      </c>
      <c r="P168" s="8">
        <f t="shared" si="111"/>
        <v>451.21442183612271</v>
      </c>
      <c r="Q168" s="8">
        <f t="shared" si="111"/>
        <v>507.89463991717918</v>
      </c>
      <c r="R168" s="8">
        <f t="shared" si="111"/>
        <v>539.41666791777902</v>
      </c>
      <c r="S168" s="8">
        <f t="shared" si="111"/>
        <v>562.8088874337368</v>
      </c>
      <c r="T168" s="8">
        <f t="shared" si="111"/>
        <v>579.04107718225282</v>
      </c>
      <c r="U168" s="8">
        <f t="shared" si="111"/>
        <v>579.51188433300797</v>
      </c>
      <c r="V168" s="8">
        <f t="shared" si="111"/>
        <v>560.19113739548129</v>
      </c>
      <c r="W168" s="8">
        <f t="shared" si="111"/>
        <v>541.9180191360507</v>
      </c>
      <c r="X168" s="8">
        <f t="shared" si="111"/>
        <v>545.32513577595205</v>
      </c>
      <c r="Y168" s="8">
        <f>Y167-Y$113-Y162</f>
        <v>567.93761056441076</v>
      </c>
      <c r="AA168" s="13" t="str">
        <f t="shared" ref="AA168:AA171" si="112">E168</f>
        <v>Net Axial Thrust Y - K</v>
      </c>
      <c r="AD168" t="str">
        <f>"= thrust - weight - drag"</f>
        <v>= thrust - weight - drag</v>
      </c>
    </row>
    <row r="169" spans="2:31" ht="15" customHeight="1">
      <c r="B169" s="32"/>
      <c r="C169" s="33"/>
      <c r="D169" s="33"/>
      <c r="E169" s="10" t="s">
        <v>36</v>
      </c>
      <c r="F169" s="12">
        <f>F168/F114</f>
        <v>-0.20124239166981062</v>
      </c>
      <c r="G169" s="12">
        <f>G168/G114</f>
        <v>-0.45427960270522133</v>
      </c>
      <c r="H169" s="12">
        <f>H168/H114</f>
        <v>-0.60349154760813706</v>
      </c>
      <c r="I169" s="12">
        <f>I168/I114</f>
        <v>-0.69878584689432766</v>
      </c>
      <c r="J169" s="12">
        <f>J168/J114</f>
        <v>-0.76330811757410166</v>
      </c>
      <c r="K169" s="12">
        <f>K168/K114</f>
        <v>-0.60054926650649676</v>
      </c>
      <c r="L169" s="12">
        <f>L168/L114</f>
        <v>5.4936030745748897E-2</v>
      </c>
      <c r="M169" s="12">
        <f>M168/M114</f>
        <v>0.56533391321469073</v>
      </c>
      <c r="N169" s="12">
        <f>N168/N114</f>
        <v>0.91870451460718361</v>
      </c>
      <c r="O169" s="12">
        <f>O168/O114</f>
        <v>1.1129531575711427</v>
      </c>
      <c r="P169" s="12">
        <f>P168/P114</f>
        <v>1.1160524414997037</v>
      </c>
      <c r="Q169" s="12">
        <f>Q168/Q114</f>
        <v>1.0596039011467775</v>
      </c>
      <c r="R169" s="12">
        <f>R168/R114</f>
        <v>0.95783059657077241</v>
      </c>
      <c r="S169" s="12">
        <f>S168/S114</f>
        <v>0.85755473900263868</v>
      </c>
      <c r="T169" s="12">
        <f>T168/T114</f>
        <v>0.76264876810306592</v>
      </c>
      <c r="U169" s="12">
        <f>U168/U114</f>
        <v>0.66417035916382483</v>
      </c>
      <c r="V169" s="12">
        <f>V168/V114</f>
        <v>0.56208536507578666</v>
      </c>
      <c r="W169" s="12">
        <f>W168/W114</f>
        <v>0.47869656393690385</v>
      </c>
      <c r="X169" s="12">
        <f>X168/X114</f>
        <v>0.42624838651822167</v>
      </c>
      <c r="Y169" s="12">
        <f>Y168/Y114</f>
        <v>0.39468068393195926</v>
      </c>
      <c r="AA169" s="13" t="str">
        <f t="shared" si="112"/>
        <v>Total G's</v>
      </c>
    </row>
    <row r="170" spans="2:31" ht="15" customHeight="1">
      <c r="B170" s="32"/>
      <c r="C170" s="33"/>
      <c r="D170" s="33"/>
      <c r="E170" s="10" t="s">
        <v>39</v>
      </c>
      <c r="F170" s="7">
        <f t="shared" ref="F170:X170" si="113">32.2*F169</f>
        <v>-6.4800050117679024</v>
      </c>
      <c r="G170" s="7">
        <f t="shared" si="113"/>
        <v>-14.627803207108128</v>
      </c>
      <c r="H170" s="7">
        <f t="shared" si="113"/>
        <v>-19.432427832982015</v>
      </c>
      <c r="I170" s="7">
        <f t="shared" si="113"/>
        <v>-22.500904269997353</v>
      </c>
      <c r="J170" s="7">
        <f t="shared" si="113"/>
        <v>-24.578521385886077</v>
      </c>
      <c r="K170" s="7">
        <f t="shared" si="113"/>
        <v>-19.337686381509197</v>
      </c>
      <c r="L170" s="7">
        <f t="shared" si="113"/>
        <v>1.7689401900131145</v>
      </c>
      <c r="M170" s="7">
        <f t="shared" si="113"/>
        <v>18.203752005513042</v>
      </c>
      <c r="N170" s="7">
        <f t="shared" si="113"/>
        <v>29.582285370351315</v>
      </c>
      <c r="O170" s="7">
        <f t="shared" si="113"/>
        <v>35.837091673790795</v>
      </c>
      <c r="P170" s="7">
        <f t="shared" si="113"/>
        <v>35.93688861629046</v>
      </c>
      <c r="Q170" s="7">
        <f t="shared" si="113"/>
        <v>34.119245616926236</v>
      </c>
      <c r="R170" s="7">
        <f t="shared" si="113"/>
        <v>30.842145209578874</v>
      </c>
      <c r="S170" s="7">
        <f t="shared" si="113"/>
        <v>27.613262595884969</v>
      </c>
      <c r="T170" s="7">
        <f t="shared" si="113"/>
        <v>24.557290332918726</v>
      </c>
      <c r="U170" s="7">
        <f t="shared" si="113"/>
        <v>21.386285565075163</v>
      </c>
      <c r="V170" s="7">
        <f t="shared" si="113"/>
        <v>18.099148755440332</v>
      </c>
      <c r="W170" s="7">
        <f t="shared" si="113"/>
        <v>15.414029358768305</v>
      </c>
      <c r="X170" s="7">
        <f t="shared" si="113"/>
        <v>13.725198045886739</v>
      </c>
      <c r="Y170" s="7">
        <f>32.2*Y169</f>
        <v>12.708718022609089</v>
      </c>
      <c r="AA170" s="13" t="str">
        <f t="shared" si="112"/>
        <v>Average Acceleration Y - Ft/sec/sec</v>
      </c>
    </row>
    <row r="171" spans="2:31" ht="15" customHeight="1">
      <c r="B171" s="32"/>
      <c r="C171" s="33"/>
      <c r="D171" s="33"/>
      <c r="E171" s="10" t="s">
        <v>54</v>
      </c>
      <c r="F171" s="8">
        <f t="shared" ref="F171" si="114">F170*$N$4</f>
        <v>-129.60010023535804</v>
      </c>
      <c r="G171" s="8">
        <f t="shared" ref="G171" si="115">G170*$N$4</f>
        <v>-292.55606414216254</v>
      </c>
      <c r="H171" s="8">
        <f t="shared" ref="H171" si="116">H170*$N$4</f>
        <v>-388.64855665964029</v>
      </c>
      <c r="I171" s="8">
        <f t="shared" ref="I171" si="117">I170*$N$4</f>
        <v>-450.01808539994704</v>
      </c>
      <c r="J171" s="8">
        <f t="shared" ref="J171" si="118">J170*$N$4</f>
        <v>-491.57042771772154</v>
      </c>
      <c r="K171" s="8">
        <f t="shared" ref="K171" si="119">K170*$N$4</f>
        <v>-386.75372763018396</v>
      </c>
      <c r="L171" s="8">
        <f t="shared" ref="L171" si="120">L170*$N$4</f>
        <v>35.37880380026229</v>
      </c>
      <c r="M171" s="8">
        <f t="shared" ref="M171" si="121">M170*$N$4</f>
        <v>364.07504011026083</v>
      </c>
      <c r="N171" s="8">
        <f t="shared" ref="N171" si="122">N170*$N$4</f>
        <v>591.64570740702629</v>
      </c>
      <c r="O171" s="8">
        <f t="shared" ref="O171" si="123">O170*$N$4</f>
        <v>716.74183347581584</v>
      </c>
      <c r="P171" s="8">
        <f t="shared" ref="P171" si="124">P170*$N$4</f>
        <v>718.73777232580915</v>
      </c>
      <c r="Q171" s="8">
        <f t="shared" ref="Q171" si="125">Q170*$N$4</f>
        <v>682.38491233852471</v>
      </c>
      <c r="R171" s="8">
        <f t="shared" ref="R171" si="126">R170*$N$4</f>
        <v>616.84290419157742</v>
      </c>
      <c r="S171" s="8">
        <f t="shared" ref="S171" si="127">S170*$N$4</f>
        <v>552.2652519176994</v>
      </c>
      <c r="T171" s="8">
        <f t="shared" ref="T171" si="128">T170*$N$4</f>
        <v>491.14580665837451</v>
      </c>
      <c r="U171" s="8">
        <f t="shared" ref="U171" si="129">U170*$N$4</f>
        <v>427.72571130150322</v>
      </c>
      <c r="V171" s="8">
        <f t="shared" ref="V171" si="130">V170*$N$4</f>
        <v>361.98297510880661</v>
      </c>
      <c r="W171" s="8">
        <f t="shared" ref="W171" si="131">W170*$N$4</f>
        <v>308.28058717536612</v>
      </c>
      <c r="X171" s="8">
        <f t="shared" ref="X171" si="132">X170*$N$4</f>
        <v>274.50396091773479</v>
      </c>
      <c r="Y171" s="8">
        <f>Y170*$N$4</f>
        <v>254.17436045218179</v>
      </c>
      <c r="AA171" s="13" t="str">
        <f t="shared" si="112"/>
        <v>Delta Vy - Ft/sec/Sec</v>
      </c>
    </row>
    <row r="172" spans="2:31" ht="15" customHeight="1">
      <c r="B172" s="32"/>
      <c r="C172" s="33"/>
      <c r="D172" s="33"/>
      <c r="E172" s="10" t="s">
        <v>57</v>
      </c>
      <c r="F172" s="8">
        <f t="shared" ref="F172" si="133">G172+F171</f>
        <v>4697.9151359841653</v>
      </c>
      <c r="G172" s="8">
        <f t="shared" ref="G172" si="134">H172+G171</f>
        <v>4827.5152362195231</v>
      </c>
      <c r="H172" s="8">
        <f t="shared" ref="H172" si="135">I172+H171</f>
        <v>5120.0713003616856</v>
      </c>
      <c r="I172" s="8">
        <f t="shared" ref="I172" si="136">J172+I171</f>
        <v>5508.7198570213259</v>
      </c>
      <c r="J172" s="8">
        <f t="shared" ref="J172" si="137">K172+J171</f>
        <v>5958.7379424212731</v>
      </c>
      <c r="K172" s="8">
        <f t="shared" ref="K172" si="138">L172+K171</f>
        <v>6450.3083701389951</v>
      </c>
      <c r="L172" s="8">
        <f t="shared" ref="L172" si="139">M172+L171</f>
        <v>6837.0620977691788</v>
      </c>
      <c r="M172" s="8">
        <f t="shared" ref="M172" si="140">N172+M171</f>
        <v>6801.6832939689166</v>
      </c>
      <c r="N172" s="8">
        <f t="shared" ref="N172" si="141">O172+N171</f>
        <v>6437.6082538586561</v>
      </c>
      <c r="O172" s="8">
        <f t="shared" ref="O172" si="142">P172+O171</f>
        <v>5845.9625464516294</v>
      </c>
      <c r="P172" s="8">
        <f t="shared" ref="P172" si="143">Q172+P171</f>
        <v>5129.2207129758135</v>
      </c>
      <c r="Q172" s="8">
        <f t="shared" ref="Q172" si="144">R172+Q171</f>
        <v>4410.4829406500039</v>
      </c>
      <c r="R172" s="8">
        <f t="shared" ref="R172" si="145">S172+R171</f>
        <v>3728.0980283114791</v>
      </c>
      <c r="S172" s="8">
        <f t="shared" ref="S172" si="146">T172+S171</f>
        <v>3111.2551241199017</v>
      </c>
      <c r="T172" s="8">
        <f t="shared" ref="T172" si="147">U172+T171</f>
        <v>2558.9898722022022</v>
      </c>
      <c r="U172" s="8">
        <f t="shared" ref="U172" si="148">V172+U171</f>
        <v>2067.8440655438276</v>
      </c>
      <c r="V172" s="8">
        <f t="shared" ref="V172" si="149">W172+V171</f>
        <v>1640.1183542423244</v>
      </c>
      <c r="W172" s="8">
        <f t="shared" ref="W172" si="150">X172+W171</f>
        <v>1278.1353791335177</v>
      </c>
      <c r="X172" s="8">
        <f t="shared" ref="X172" si="151">Y172+X171</f>
        <v>969.85479195815174</v>
      </c>
      <c r="Y172" s="8">
        <f>Z172+Y171</f>
        <v>695.35083104041701</v>
      </c>
      <c r="Z172" s="8">
        <f>$F$46</f>
        <v>441.17647058823525</v>
      </c>
      <c r="AA172" s="13" t="s">
        <v>57</v>
      </c>
    </row>
    <row r="173" spans="2:31" ht="15" customHeight="1">
      <c r="B173" s="32"/>
      <c r="C173" s="33"/>
      <c r="D173" s="33"/>
      <c r="E173" s="10" t="s">
        <v>58</v>
      </c>
      <c r="F173" s="8">
        <f t="shared" ref="F173:Y173" si="152">F172*0.68</f>
        <v>3194.5822924692325</v>
      </c>
      <c r="G173" s="8">
        <f t="shared" si="152"/>
        <v>3282.7103606292758</v>
      </c>
      <c r="H173" s="8">
        <f t="shared" si="152"/>
        <v>3481.6484842459463</v>
      </c>
      <c r="I173" s="8">
        <f t="shared" si="152"/>
        <v>3745.929502774502</v>
      </c>
      <c r="J173" s="8">
        <f t="shared" si="152"/>
        <v>4051.9418008464659</v>
      </c>
      <c r="K173" s="8">
        <f t="shared" si="152"/>
        <v>4386.2096916945166</v>
      </c>
      <c r="L173" s="8">
        <f t="shared" si="152"/>
        <v>4649.2022264830421</v>
      </c>
      <c r="M173" s="8">
        <f t="shared" si="152"/>
        <v>4625.1446398988637</v>
      </c>
      <c r="N173" s="8">
        <f t="shared" si="152"/>
        <v>4377.5736126238862</v>
      </c>
      <c r="O173" s="8">
        <f t="shared" si="152"/>
        <v>3975.2545315871084</v>
      </c>
      <c r="P173" s="8">
        <f t="shared" si="152"/>
        <v>3487.8700848235535</v>
      </c>
      <c r="Q173" s="8">
        <f t="shared" si="152"/>
        <v>2999.1283996420029</v>
      </c>
      <c r="R173" s="8">
        <f t="shared" si="152"/>
        <v>2535.1066592518059</v>
      </c>
      <c r="S173" s="8">
        <f t="shared" si="152"/>
        <v>2115.6534844015332</v>
      </c>
      <c r="T173" s="8">
        <f t="shared" si="152"/>
        <v>1740.1131130974975</v>
      </c>
      <c r="U173" s="8">
        <f t="shared" si="152"/>
        <v>1406.1339645698029</v>
      </c>
      <c r="V173" s="8">
        <f t="shared" si="152"/>
        <v>1115.2804808847807</v>
      </c>
      <c r="W173" s="8">
        <f t="shared" si="152"/>
        <v>869.13205781079216</v>
      </c>
      <c r="X173" s="8">
        <f t="shared" si="152"/>
        <v>659.50125853154327</v>
      </c>
      <c r="Y173" s="8">
        <f t="shared" si="152"/>
        <v>472.83856510748359</v>
      </c>
      <c r="AA173" s="13" t="str">
        <f t="shared" ref="AA173:AA176" si="153">E173</f>
        <v>Final VY - MPH</v>
      </c>
    </row>
    <row r="174" spans="2:31" ht="15" customHeight="1">
      <c r="B174" s="32"/>
      <c r="C174" s="33"/>
      <c r="D174" s="33"/>
      <c r="E174" s="10" t="s">
        <v>23</v>
      </c>
      <c r="F174" s="7">
        <f t="shared" ref="F174:X174" si="154">$N$4*(G173+F173)/2</f>
        <v>64772.926530985074</v>
      </c>
      <c r="G174" s="7">
        <f t="shared" si="154"/>
        <v>67643.588448752213</v>
      </c>
      <c r="H174" s="7">
        <f t="shared" si="154"/>
        <v>72275.779870204482</v>
      </c>
      <c r="I174" s="7">
        <f t="shared" si="154"/>
        <v>77978.71303620968</v>
      </c>
      <c r="J174" s="7">
        <f t="shared" si="154"/>
        <v>84381.514925409836</v>
      </c>
      <c r="K174" s="7">
        <f t="shared" si="154"/>
        <v>90354.11918177559</v>
      </c>
      <c r="L174" s="7">
        <f t="shared" si="154"/>
        <v>92743.468663819061</v>
      </c>
      <c r="M174" s="7">
        <f t="shared" si="154"/>
        <v>90027.182525227516</v>
      </c>
      <c r="N174" s="7">
        <f t="shared" si="154"/>
        <v>83528.281442109947</v>
      </c>
      <c r="O174" s="7">
        <f t="shared" si="154"/>
        <v>74631.246164106618</v>
      </c>
      <c r="P174" s="7">
        <f t="shared" si="154"/>
        <v>64869.984844655562</v>
      </c>
      <c r="Q174" s="7">
        <f t="shared" si="154"/>
        <v>55342.35058893809</v>
      </c>
      <c r="R174" s="7">
        <f t="shared" si="154"/>
        <v>46507.601436533383</v>
      </c>
      <c r="S174" s="7">
        <f t="shared" si="154"/>
        <v>38557.665974990305</v>
      </c>
      <c r="T174" s="7">
        <f t="shared" si="154"/>
        <v>31462.470776673003</v>
      </c>
      <c r="U174" s="7">
        <f t="shared" si="154"/>
        <v>25214.144454545836</v>
      </c>
      <c r="V174" s="7">
        <f t="shared" si="154"/>
        <v>19844.125386955729</v>
      </c>
      <c r="W174" s="7">
        <f t="shared" si="154"/>
        <v>15286.333163423355</v>
      </c>
      <c r="X174" s="7">
        <f t="shared" si="154"/>
        <v>11323.398236390269</v>
      </c>
      <c r="Y174" s="7">
        <f>$N$4*(Z173+Y173)/2</f>
        <v>4728.3856510748356</v>
      </c>
      <c r="Z174" s="8"/>
      <c r="AA174" s="13" t="str">
        <f t="shared" si="153"/>
        <v>Delta Y - Ft</v>
      </c>
    </row>
    <row r="175" spans="2:31" ht="15" customHeight="1">
      <c r="B175" s="32"/>
      <c r="C175" s="33"/>
      <c r="D175" s="33"/>
      <c r="E175" s="10" t="s">
        <v>24</v>
      </c>
      <c r="F175" s="7">
        <f t="shared" ref="F175" si="155">G175+F174</f>
        <v>1115773.2813027806</v>
      </c>
      <c r="G175" s="7">
        <f t="shared" ref="G175" si="156">H175+G174</f>
        <v>1051000.3547717954</v>
      </c>
      <c r="H175" s="7">
        <f t="shared" ref="H175" si="157">I175+H174</f>
        <v>983356.76632304315</v>
      </c>
      <c r="I175" s="7">
        <f t="shared" ref="I175" si="158">J175+I174</f>
        <v>911080.98645283864</v>
      </c>
      <c r="J175" s="7">
        <f t="shared" ref="J175" si="159">K175+J174</f>
        <v>833102.27341662894</v>
      </c>
      <c r="K175" s="7">
        <f t="shared" ref="K175" si="160">L175+K174</f>
        <v>748720.75849121914</v>
      </c>
      <c r="L175" s="7">
        <f t="shared" ref="L175" si="161">M175+L174</f>
        <v>658366.63930944353</v>
      </c>
      <c r="M175" s="7">
        <f t="shared" ref="M175" si="162">N175+M174</f>
        <v>565623.17064562452</v>
      </c>
      <c r="N175" s="7">
        <f t="shared" ref="N175" si="163">O175+N174</f>
        <v>475595.98812039697</v>
      </c>
      <c r="O175" s="7">
        <f t="shared" ref="O175" si="164">P175+O174</f>
        <v>392067.70667828701</v>
      </c>
      <c r="P175" s="7">
        <f t="shared" ref="P175" si="165">Q175+P174</f>
        <v>317436.46051418036</v>
      </c>
      <c r="Q175" s="7">
        <f t="shared" ref="Q175" si="166">R175+Q174</f>
        <v>252566.47566952481</v>
      </c>
      <c r="R175" s="7">
        <f t="shared" ref="R175" si="167">S175+R174</f>
        <v>197224.1250805867</v>
      </c>
      <c r="S175" s="7">
        <f t="shared" ref="S175" si="168">T175+S174</f>
        <v>150716.52364405332</v>
      </c>
      <c r="T175" s="7">
        <f t="shared" ref="T175" si="169">U175+T174</f>
        <v>112158.85766906303</v>
      </c>
      <c r="U175" s="7">
        <f t="shared" ref="U175" si="170">V175+U174</f>
        <v>80696.38689239003</v>
      </c>
      <c r="V175" s="7">
        <f t="shared" ref="V175" si="171">W175+V174</f>
        <v>55482.242437844194</v>
      </c>
      <c r="W175" s="7">
        <f t="shared" ref="W175" si="172">X175+W174</f>
        <v>35638.117050888461</v>
      </c>
      <c r="X175" s="7">
        <f t="shared" ref="X175" si="173">Y175+X174</f>
        <v>20351.783887465106</v>
      </c>
      <c r="Y175" s="7">
        <f>Z175+Y174</f>
        <v>9028.3856510748356</v>
      </c>
      <c r="Z175" s="59">
        <f>$F$45</f>
        <v>4300</v>
      </c>
      <c r="AA175" s="13" t="str">
        <f t="shared" si="153"/>
        <v>Altitude  - Feet</v>
      </c>
    </row>
    <row r="176" spans="2:31" ht="15" customHeight="1">
      <c r="B176" s="32"/>
      <c r="C176" s="33"/>
      <c r="D176" s="33"/>
      <c r="E176" s="51" t="s">
        <v>10</v>
      </c>
      <c r="F176" s="57">
        <f t="shared" ref="F176" si="174">F175/5280</f>
        <v>211.32069721643572</v>
      </c>
      <c r="G176" s="57">
        <f t="shared" ref="G176" si="175">G175/5280</f>
        <v>199.05309749465823</v>
      </c>
      <c r="H176" s="57">
        <f t="shared" ref="H176" si="176">H175/5280</f>
        <v>186.24181180360665</v>
      </c>
      <c r="I176" s="57">
        <f t="shared" ref="I176" si="177">I175/5280</f>
        <v>172.55321713121944</v>
      </c>
      <c r="J176" s="57">
        <f t="shared" ref="J176" si="178">J175/5280</f>
        <v>157.78452148042214</v>
      </c>
      <c r="K176" s="57">
        <f t="shared" ref="K176" si="179">K175/5280</f>
        <v>141.80317395667029</v>
      </c>
      <c r="L176" s="57">
        <f t="shared" ref="L176" si="180">L175/5280</f>
        <v>124.6906513843643</v>
      </c>
      <c r="M176" s="57">
        <f t="shared" ref="M176" si="181">M175/5280</f>
        <v>107.12560050106525</v>
      </c>
      <c r="N176" s="57">
        <f t="shared" ref="N176" si="182">N175/5280</f>
        <v>90.074997750075184</v>
      </c>
      <c r="O176" s="57">
        <f t="shared" ref="O176" si="183">O175/5280</f>
        <v>74.255247476948298</v>
      </c>
      <c r="P176" s="57">
        <f t="shared" ref="P176" si="184">P175/5280</f>
        <v>60.120541764049314</v>
      </c>
      <c r="Q176" s="57">
        <f t="shared" ref="Q176" si="185">Q175/5280</f>
        <v>47.834559785894847</v>
      </c>
      <c r="R176" s="57">
        <f t="shared" ref="R176" si="186">R175/5280</f>
        <v>37.353053992535358</v>
      </c>
      <c r="S176" s="57">
        <f t="shared" ref="S176" si="187">S175/5280</f>
        <v>28.544796144707067</v>
      </c>
      <c r="T176" s="57">
        <f t="shared" ref="T176" si="188">T175/5280</f>
        <v>21.242207891867999</v>
      </c>
      <c r="U176" s="57">
        <f t="shared" ref="U176" si="189">U175/5280</f>
        <v>15.283406608407203</v>
      </c>
      <c r="V176" s="57">
        <f t="shared" ref="V176" si="190">V175/5280</f>
        <v>10.508000461712916</v>
      </c>
      <c r="W176" s="57">
        <f t="shared" ref="W176" si="191">W175/5280</f>
        <v>6.7496433808500873</v>
      </c>
      <c r="X176" s="57">
        <f t="shared" ref="X176" si="192">X175/5280</f>
        <v>3.8545045241411184</v>
      </c>
      <c r="Y176" s="57">
        <f>Y175/5280</f>
        <v>1.7099215248247794</v>
      </c>
      <c r="AA176" s="13" t="str">
        <f t="shared" si="153"/>
        <v>Height - Miles</v>
      </c>
    </row>
    <row r="177" spans="2:27" ht="15" customHeight="1">
      <c r="B177" s="32"/>
      <c r="C177" s="33"/>
      <c r="D177" s="33"/>
    </row>
    <row r="178" spans="2:27" ht="15" customHeight="1">
      <c r="B178" s="32"/>
      <c r="C178" s="33"/>
      <c r="D178" s="33"/>
    </row>
    <row r="179" spans="2:27" ht="15" customHeight="1">
      <c r="B179" s="32"/>
      <c r="C179" s="33"/>
      <c r="D179" s="33"/>
      <c r="E179" s="10" t="s">
        <v>52</v>
      </c>
      <c r="F179" s="8">
        <f t="shared" ref="F179:X179" si="193">F38*COS((F41/(180/PI())))</f>
        <v>151.97684966377147</v>
      </c>
      <c r="G179" s="8">
        <f t="shared" si="193"/>
        <v>194.97030055549629</v>
      </c>
      <c r="H179" s="8">
        <f t="shared" si="193"/>
        <v>243.96283761815948</v>
      </c>
      <c r="I179" s="8">
        <f t="shared" si="193"/>
        <v>299.95430854691739</v>
      </c>
      <c r="J179" s="8">
        <f t="shared" si="193"/>
        <v>361.94486564661366</v>
      </c>
      <c r="K179" s="8">
        <f t="shared" ref="K179:U179" si="194">K38*COS((K41/(180/PI())))</f>
        <v>428.36372017945058</v>
      </c>
      <c r="L179" s="8">
        <f t="shared" si="194"/>
        <v>473.60508087609787</v>
      </c>
      <c r="M179" s="8">
        <f t="shared" si="194"/>
        <v>479.20394590906022</v>
      </c>
      <c r="N179" s="8">
        <f t="shared" si="194"/>
        <v>431.95327370935445</v>
      </c>
      <c r="O179" s="8">
        <f t="shared" si="194"/>
        <v>323.30297023163507</v>
      </c>
      <c r="P179" s="8">
        <f t="shared" si="194"/>
        <v>223.87847401368043</v>
      </c>
      <c r="Q179" s="8">
        <f t="shared" si="194"/>
        <v>84.628226207976056</v>
      </c>
      <c r="R179" s="8">
        <f t="shared" si="194"/>
        <v>6.6341788833301774E-14</v>
      </c>
      <c r="S179" s="8">
        <f t="shared" si="194"/>
        <v>7.3570164717262632E-14</v>
      </c>
      <c r="T179" s="8">
        <f t="shared" si="194"/>
        <v>8.1227342560441507E-14</v>
      </c>
      <c r="U179" s="8">
        <f t="shared" si="194"/>
        <v>8.9252064940092968E-14</v>
      </c>
      <c r="V179" s="8">
        <f t="shared" si="193"/>
        <v>9.7644331856217015E-14</v>
      </c>
      <c r="W179" s="8">
        <f t="shared" si="193"/>
        <v>1.0646540073155908E-13</v>
      </c>
      <c r="X179" s="8">
        <f t="shared" si="193"/>
        <v>1.1565401414337373E-13</v>
      </c>
      <c r="Y179" s="8">
        <f>Y38*COS((Y41/(180/PI())))</f>
        <v>1.2521017209166097E-13</v>
      </c>
      <c r="AA179" s="13" t="str">
        <f>E179</f>
        <v>Total Axial Thrust X - K</v>
      </c>
    </row>
    <row r="180" spans="2:27" ht="15" customHeight="1">
      <c r="B180" s="32"/>
      <c r="C180" s="33"/>
      <c r="D180" s="33"/>
      <c r="E180" s="10" t="s">
        <v>36</v>
      </c>
      <c r="F180" s="12">
        <f>F179/F114</f>
        <v>5.3588451926576681</v>
      </c>
      <c r="G180" s="12">
        <f>G179/G114</f>
        <v>4.5463518842368256</v>
      </c>
      <c r="H180" s="12">
        <f>H179/H114</f>
        <v>3.9876240212186906</v>
      </c>
      <c r="I180" s="12">
        <f>I179/I114</f>
        <v>3.5802615009180876</v>
      </c>
      <c r="J180" s="12">
        <f>J179/J114</f>
        <v>3.2551926040706327</v>
      </c>
      <c r="K180" s="12">
        <f>K179/K114</f>
        <v>2.9770221709601126</v>
      </c>
      <c r="L180" s="12">
        <f>L179/L114</f>
        <v>2.5970886207287665</v>
      </c>
      <c r="M180" s="12">
        <f>M179/M114</f>
        <v>2.1097758861868945</v>
      </c>
      <c r="N180" s="12">
        <f>N179/N114</f>
        <v>1.5497749487275922</v>
      </c>
      <c r="O180" s="12">
        <f>O179/O114</f>
        <v>0.95766516160380055</v>
      </c>
      <c r="P180" s="12">
        <f>P179/P114</f>
        <v>0.55375029128156528</v>
      </c>
      <c r="Q180" s="12">
        <f>Q179/Q114</f>
        <v>0.17655708800495706</v>
      </c>
      <c r="R180" s="12">
        <f>R179/R114</f>
        <v>1.1780169014995921E-16</v>
      </c>
      <c r="S180" s="12">
        <f>S179/S114</f>
        <v>1.1209923085999836E-16</v>
      </c>
      <c r="T180" s="12">
        <f>T179/T114</f>
        <v>1.0698365829495095E-16</v>
      </c>
      <c r="U180" s="12">
        <f>U179/U114</f>
        <v>1.0229052695891048E-16</v>
      </c>
      <c r="V180" s="12">
        <f>V179/V114</f>
        <v>9.7974505941238986E-17</v>
      </c>
      <c r="W180" s="12">
        <f>W179/W114</f>
        <v>9.4044891863187858E-17</v>
      </c>
      <c r="X180" s="12">
        <f>X179/X114</f>
        <v>9.0399898498760109E-17</v>
      </c>
      <c r="Y180" s="12">
        <f>Y179/Y114</f>
        <v>8.7013142706403813E-17</v>
      </c>
      <c r="AA180" s="13" t="str">
        <f t="shared" ref="AA180:AA186" si="195">E180</f>
        <v>Total G's</v>
      </c>
    </row>
    <row r="181" spans="2:27" ht="15" customHeight="1">
      <c r="B181" s="32"/>
      <c r="C181" s="33"/>
      <c r="D181" s="33"/>
      <c r="E181" s="10" t="s">
        <v>53</v>
      </c>
      <c r="F181" s="7">
        <f t="shared" ref="F181:X181" si="196">32.2*F180</f>
        <v>172.55481520357694</v>
      </c>
      <c r="G181" s="7">
        <f t="shared" si="196"/>
        <v>146.39253067242581</v>
      </c>
      <c r="H181" s="7">
        <f t="shared" si="196"/>
        <v>128.40149348324184</v>
      </c>
      <c r="I181" s="7">
        <f t="shared" si="196"/>
        <v>115.28442032956244</v>
      </c>
      <c r="J181" s="7">
        <f t="shared" si="196"/>
        <v>104.81720185107439</v>
      </c>
      <c r="K181" s="7">
        <f t="shared" si="196"/>
        <v>95.860113904915636</v>
      </c>
      <c r="L181" s="7">
        <f t="shared" si="196"/>
        <v>83.62625358746628</v>
      </c>
      <c r="M181" s="7">
        <f t="shared" si="196"/>
        <v>67.934783535218003</v>
      </c>
      <c r="N181" s="7">
        <f t="shared" si="196"/>
        <v>49.902753349028472</v>
      </c>
      <c r="O181" s="7">
        <f t="shared" si="196"/>
        <v>30.83681820364238</v>
      </c>
      <c r="P181" s="7">
        <f t="shared" si="196"/>
        <v>17.830759379266404</v>
      </c>
      <c r="Q181" s="7">
        <f t="shared" si="196"/>
        <v>5.6851382337596181</v>
      </c>
      <c r="R181" s="7">
        <f t="shared" si="196"/>
        <v>3.7932144228286871E-15</v>
      </c>
      <c r="S181" s="7">
        <f t="shared" si="196"/>
        <v>3.6095952336919473E-15</v>
      </c>
      <c r="T181" s="7">
        <f t="shared" si="196"/>
        <v>3.4448737970974206E-15</v>
      </c>
      <c r="U181" s="7">
        <f t="shared" si="196"/>
        <v>3.2937549680769179E-15</v>
      </c>
      <c r="V181" s="7">
        <f t="shared" si="196"/>
        <v>3.1547790913078956E-15</v>
      </c>
      <c r="W181" s="7">
        <f t="shared" si="196"/>
        <v>3.0282455179946492E-15</v>
      </c>
      <c r="X181" s="7">
        <f t="shared" si="196"/>
        <v>2.9108767316600756E-15</v>
      </c>
      <c r="Y181" s="7">
        <f>32.2*Y180</f>
        <v>2.8018231951462032E-15</v>
      </c>
      <c r="AA181" s="13" t="str">
        <f t="shared" si="195"/>
        <v>Average Acceleration X - Ft/sec/sec</v>
      </c>
    </row>
    <row r="182" spans="2:27" ht="15" customHeight="1">
      <c r="B182" s="32"/>
      <c r="C182" s="33"/>
      <c r="D182" s="33"/>
      <c r="E182" s="10" t="s">
        <v>56</v>
      </c>
      <c r="F182" s="7">
        <f t="shared" ref="F182" si="197">F181*$N$4</f>
        <v>3451.0963040715387</v>
      </c>
      <c r="G182" s="7">
        <f t="shared" ref="G182" si="198">G181*$N$4</f>
        <v>2927.850613448516</v>
      </c>
      <c r="H182" s="7">
        <f t="shared" ref="H182" si="199">H181*$N$4</f>
        <v>2568.029869664837</v>
      </c>
      <c r="I182" s="7">
        <f t="shared" ref="I182" si="200">I181*$N$4</f>
        <v>2305.6884065912486</v>
      </c>
      <c r="J182" s="7">
        <f t="shared" ref="J182" si="201">J181*$N$4</f>
        <v>2096.3440370214876</v>
      </c>
      <c r="K182" s="7">
        <f t="shared" ref="K182" si="202">K181*$N$4</f>
        <v>1917.2022780983127</v>
      </c>
      <c r="L182" s="7">
        <f t="shared" ref="L182" si="203">L181*$N$4</f>
        <v>1672.5250717493257</v>
      </c>
      <c r="M182" s="7">
        <f t="shared" ref="M182" si="204">M181*$N$4</f>
        <v>1358.6956707043601</v>
      </c>
      <c r="N182" s="7">
        <f t="shared" ref="N182" si="205">N181*$N$4</f>
        <v>998.05506698056945</v>
      </c>
      <c r="O182" s="7">
        <f t="shared" ref="O182" si="206">O181*$N$4</f>
        <v>616.73636407284766</v>
      </c>
      <c r="P182" s="7">
        <f t="shared" ref="P182" si="207">P181*$N$4</f>
        <v>356.61518758532804</v>
      </c>
      <c r="Q182" s="7">
        <f t="shared" ref="Q182" si="208">Q181*$N$4</f>
        <v>113.70276467519236</v>
      </c>
      <c r="R182" s="7">
        <f t="shared" ref="R182" si="209">R181*$N$4</f>
        <v>7.5864288456573736E-14</v>
      </c>
      <c r="S182" s="7">
        <f t="shared" ref="S182" si="210">S181*$N$4</f>
        <v>7.2191904673838943E-14</v>
      </c>
      <c r="T182" s="7">
        <f t="shared" ref="T182" si="211">T181*$N$4</f>
        <v>6.8897475941948409E-14</v>
      </c>
      <c r="U182" s="7">
        <f t="shared" ref="U182" si="212">U181*$N$4</f>
        <v>6.5875099361538359E-14</v>
      </c>
      <c r="V182" s="7">
        <f t="shared" ref="V182" si="213">V181*$N$4</f>
        <v>6.3095581826157906E-14</v>
      </c>
      <c r="W182" s="7">
        <f t="shared" ref="W182" si="214">W181*$N$4</f>
        <v>6.0564910359892982E-14</v>
      </c>
      <c r="X182" s="7">
        <f t="shared" ref="X182" si="215">X181*$N$4</f>
        <v>5.8217534633201514E-14</v>
      </c>
      <c r="Y182" s="7">
        <f>Y181*$N$4</f>
        <v>5.6036463902924064E-14</v>
      </c>
      <c r="AA182" s="13" t="str">
        <f t="shared" si="195"/>
        <v>Delta VX - Ft/Sec</v>
      </c>
    </row>
    <row r="183" spans="2:27" ht="15" customHeight="1">
      <c r="B183" s="32"/>
      <c r="C183" s="33"/>
      <c r="D183" s="33"/>
      <c r="E183" s="10" t="s">
        <v>107</v>
      </c>
      <c r="F183" s="8">
        <f t="shared" ref="F183" si="216">G183+F182</f>
        <v>20382.541634663565</v>
      </c>
      <c r="G183" s="8">
        <f t="shared" ref="G183" si="217">H183+G182</f>
        <v>16931.445330592025</v>
      </c>
      <c r="H183" s="8">
        <f t="shared" ref="H183" si="218">I183+H182</f>
        <v>14003.594717143509</v>
      </c>
      <c r="I183" s="8">
        <f t="shared" ref="I183" si="219">J183+I182</f>
        <v>11435.564847478672</v>
      </c>
      <c r="J183" s="8">
        <f t="shared" ref="J183" si="220">K183+J182</f>
        <v>9129.8764408874231</v>
      </c>
      <c r="K183" s="8">
        <f t="shared" ref="K183" si="221">L183+K182</f>
        <v>7033.5324038659364</v>
      </c>
      <c r="L183" s="8">
        <f t="shared" ref="L183" si="222">M183+L182</f>
        <v>5116.3301257676239</v>
      </c>
      <c r="M183" s="8">
        <f t="shared" ref="M183" si="223">N183+M182</f>
        <v>3443.8050540182981</v>
      </c>
      <c r="N183" s="8">
        <f t="shared" ref="N183" si="224">O183+N182</f>
        <v>2085.109383313938</v>
      </c>
      <c r="O183" s="8">
        <f t="shared" ref="O183" si="225">P183+O182</f>
        <v>1087.0543163333687</v>
      </c>
      <c r="P183" s="8">
        <f t="shared" ref="P183" si="226">Q183+P182</f>
        <v>470.31795226052094</v>
      </c>
      <c r="Q183" s="8">
        <f t="shared" ref="Q183" si="227">R183+Q182</f>
        <v>113.70276467519288</v>
      </c>
      <c r="R183" s="8">
        <f t="shared" ref="R183" si="228">S183+R182</f>
        <v>5.2074325915607585E-13</v>
      </c>
      <c r="S183" s="8">
        <f t="shared" ref="S183" si="229">T183+S182</f>
        <v>4.4487897069950216E-13</v>
      </c>
      <c r="T183" s="8">
        <f t="shared" ref="T183" si="230">U183+T182</f>
        <v>3.7268706602566321E-13</v>
      </c>
      <c r="U183" s="8">
        <f t="shared" ref="U183" si="231">V183+U182</f>
        <v>3.0378959008371482E-13</v>
      </c>
      <c r="V183" s="8">
        <f t="shared" ref="V183" si="232">W183+V182</f>
        <v>2.3791449072217647E-13</v>
      </c>
      <c r="W183" s="8">
        <f t="shared" ref="W183" si="233">X183+W182</f>
        <v>1.7481890889601853E-13</v>
      </c>
      <c r="X183" s="8">
        <f t="shared" ref="X183" si="234">Y183+X182</f>
        <v>1.1425399853612557E-13</v>
      </c>
      <c r="Y183" s="8">
        <f>Z183+Y182</f>
        <v>5.6036463902924064E-14</v>
      </c>
      <c r="AA183" s="13" t="str">
        <f t="shared" si="195"/>
        <v>Final V-X MPH</v>
      </c>
    </row>
    <row r="184" spans="2:27">
      <c r="E184" s="10" t="s">
        <v>11</v>
      </c>
      <c r="F184" s="7">
        <f t="shared" ref="F184" si="235">$N$4*(G183+F183)/2</f>
        <v>373139.86965255591</v>
      </c>
      <c r="G184" s="7">
        <f t="shared" ref="G184" si="236">$N$4*(H183+G183)/2</f>
        <v>309350.40047735535</v>
      </c>
      <c r="H184" s="7">
        <f t="shared" ref="H184" si="237">$N$4*(I183+H183)/2</f>
        <v>254391.59564622183</v>
      </c>
      <c r="I184" s="7">
        <f t="shared" ref="I184" si="238">$N$4*(J183+I183)/2</f>
        <v>205654.41288366096</v>
      </c>
      <c r="J184" s="7">
        <f t="shared" ref="J184" si="239">$N$4*(K183+J183)/2</f>
        <v>161634.08844753361</v>
      </c>
      <c r="K184" s="7">
        <f t="shared" ref="K184" si="240">$N$4*(L183+K183)/2</f>
        <v>121498.62529633559</v>
      </c>
      <c r="L184" s="7">
        <f t="shared" ref="L184" si="241">$N$4*(M183+L183)/2</f>
        <v>85601.351797859228</v>
      </c>
      <c r="M184" s="7">
        <f t="shared" ref="M184" si="242">$N$4*(N183+M183)/2</f>
        <v>55289.144373322357</v>
      </c>
      <c r="N184" s="7">
        <f t="shared" ref="N184" si="243">$N$4*(O183+N183)/2</f>
        <v>31721.636996473066</v>
      </c>
      <c r="O184" s="7">
        <f t="shared" ref="O184" si="244">$N$4*(P183+O183)/2</f>
        <v>15573.722685938897</v>
      </c>
      <c r="P184" s="7">
        <f t="shared" ref="P184" si="245">$N$4*(Q183+P183)/2</f>
        <v>5840.2071693571379</v>
      </c>
      <c r="Q184" s="7">
        <f t="shared" ref="Q184" si="246">$N$4*(R183+Q183)/2</f>
        <v>1137.0276467519341</v>
      </c>
      <c r="R184" s="7">
        <f t="shared" ref="R184" si="247">$N$4*(S183+R183)/2</f>
        <v>9.6562222985557806E-12</v>
      </c>
      <c r="S184" s="7">
        <f t="shared" ref="S184" si="248">$N$4*(T183+S183)/2</f>
        <v>8.1756603672516531E-12</v>
      </c>
      <c r="T184" s="7">
        <f t="shared" ref="T184" si="249">$N$4*(U183+T183)/2</f>
        <v>6.7647665610937801E-12</v>
      </c>
      <c r="U184" s="7">
        <f t="shared" ref="U184" si="250">$N$4*(V183+U183)/2</f>
        <v>5.4170408080589131E-12</v>
      </c>
      <c r="V184" s="7">
        <f t="shared" ref="V184" si="251">$N$4*(W183+V183)/2</f>
        <v>4.1273339961819502E-12</v>
      </c>
      <c r="W184" s="7">
        <f t="shared" ref="W184" si="252">$N$4*(X183+W183)/2</f>
        <v>2.8907290743214409E-12</v>
      </c>
      <c r="X184" s="7">
        <f t="shared" ref="X184" si="253">$N$4*(Y183+X183)/2</f>
        <v>1.7029046243904965E-12</v>
      </c>
      <c r="Y184" s="7">
        <f>$N$4*(Z183+Y183)/2</f>
        <v>5.6036463902924066E-13</v>
      </c>
      <c r="AA184" s="13" t="str">
        <f t="shared" si="195"/>
        <v>Delta X - Ft</v>
      </c>
    </row>
    <row r="185" spans="2:27">
      <c r="E185" s="10" t="s">
        <v>25</v>
      </c>
      <c r="F185" s="7">
        <f t="shared" ref="F185" si="254">G185+F184</f>
        <v>1620832.083073366</v>
      </c>
      <c r="G185" s="7">
        <f t="shared" ref="G185" si="255">H185+G184</f>
        <v>1247692.2134208099</v>
      </c>
      <c r="H185" s="7">
        <f t="shared" ref="H185" si="256">I185+H184</f>
        <v>938341.8129434546</v>
      </c>
      <c r="I185" s="7">
        <f t="shared" ref="I185" si="257">J185+I184</f>
        <v>683950.21729723283</v>
      </c>
      <c r="J185" s="7">
        <f t="shared" ref="J185" si="258">K185+J184</f>
        <v>478295.8044135719</v>
      </c>
      <c r="K185" s="7">
        <f t="shared" ref="K185" si="259">L185+K184</f>
        <v>316661.71596603829</v>
      </c>
      <c r="L185" s="7">
        <f t="shared" ref="L185" si="260">M185+L184</f>
        <v>195163.09066970268</v>
      </c>
      <c r="M185" s="7">
        <f t="shared" ref="M185" si="261">N185+M184</f>
        <v>109561.73887184344</v>
      </c>
      <c r="N185" s="7">
        <f t="shared" ref="N185" si="262">O185+N184</f>
        <v>54272.594498521074</v>
      </c>
      <c r="O185" s="7">
        <f t="shared" ref="O185" si="263">P185+O184</f>
        <v>22550.957502048008</v>
      </c>
      <c r="P185" s="7">
        <f t="shared" ref="P185" si="264">Q185+P184</f>
        <v>6977.2348161091113</v>
      </c>
      <c r="Q185" s="7">
        <f t="shared" ref="Q185" si="265">R185+Q184</f>
        <v>1137.0276467519734</v>
      </c>
      <c r="R185" s="7">
        <f t="shared" ref="R185" si="266">S185+R184</f>
        <v>3.9295022368883254E-11</v>
      </c>
      <c r="S185" s="7">
        <f t="shared" ref="S185" si="267">T185+S184</f>
        <v>2.9638800070327477E-11</v>
      </c>
      <c r="T185" s="7">
        <f t="shared" ref="T185" si="268">U185+T184</f>
        <v>2.1463139703075822E-11</v>
      </c>
      <c r="U185" s="7">
        <f t="shared" ref="U185" si="269">V185+U184</f>
        <v>1.4698373141982043E-11</v>
      </c>
      <c r="V185" s="7">
        <f t="shared" ref="V185" si="270">W185+V184</f>
        <v>9.2813323339231286E-12</v>
      </c>
      <c r="W185" s="7">
        <f t="shared" ref="W185" si="271">X185+W184</f>
        <v>5.1539983377411776E-12</v>
      </c>
      <c r="X185" s="7">
        <f t="shared" ref="X185" si="272">Y185+X184</f>
        <v>2.2632692634197371E-12</v>
      </c>
      <c r="Y185" s="7">
        <f>Z185+Y184</f>
        <v>5.6036463902924066E-13</v>
      </c>
      <c r="AA185" s="13" t="str">
        <f t="shared" si="195"/>
        <v>Downrange  - Feet</v>
      </c>
    </row>
    <row r="186" spans="2:27">
      <c r="E186" s="51" t="s">
        <v>26</v>
      </c>
      <c r="F186" s="57">
        <f t="shared" ref="F186" si="273">F185/5280</f>
        <v>306.97577330934962</v>
      </c>
      <c r="G186" s="57">
        <f t="shared" ref="G186" si="274">G185/5280</f>
        <v>236.30534345091098</v>
      </c>
      <c r="H186" s="57">
        <f t="shared" ref="H186" si="275">H185/5280</f>
        <v>177.71625245141186</v>
      </c>
      <c r="I186" s="57">
        <f t="shared" ref="I186" si="276">I185/5280</f>
        <v>129.5360260032638</v>
      </c>
      <c r="J186" s="57">
        <f t="shared" ref="J186" si="277">J185/5280</f>
        <v>90.586326593479527</v>
      </c>
      <c r="K186" s="57">
        <f t="shared" ref="K186" si="278">K185/5280</f>
        <v>59.973809842052709</v>
      </c>
      <c r="L186" s="57">
        <f t="shared" ref="L186" si="279">L185/5280</f>
        <v>36.962706566231567</v>
      </c>
      <c r="M186" s="57">
        <f t="shared" ref="M186" si="280">M185/5280</f>
        <v>20.750329331788532</v>
      </c>
      <c r="N186" s="57">
        <f t="shared" ref="N186" si="281">N185/5280</f>
        <v>10.278900473204748</v>
      </c>
      <c r="O186" s="57">
        <f t="shared" ref="O186" si="282">O185/5280</f>
        <v>4.2710146784181831</v>
      </c>
      <c r="P186" s="57">
        <f t="shared" ref="P186" si="283">P185/5280</f>
        <v>1.3214459878994529</v>
      </c>
      <c r="Q186" s="57">
        <f t="shared" ref="Q186" si="284">Q185/5280</f>
        <v>0.21534614521817677</v>
      </c>
      <c r="R186" s="57">
        <f t="shared" ref="R186" si="285">R185/5280</f>
        <v>7.4422390850157671E-15</v>
      </c>
      <c r="S186" s="57">
        <f t="shared" ref="S186" si="286">S185/5280</f>
        <v>5.6134091042286889E-15</v>
      </c>
      <c r="T186" s="57">
        <f t="shared" ref="T186" si="287">T185/5280</f>
        <v>4.0649885801279967E-15</v>
      </c>
      <c r="U186" s="57">
        <f t="shared" ref="U186" si="288">U185/5280</f>
        <v>2.7837827920420536E-15</v>
      </c>
      <c r="V186" s="57">
        <f t="shared" ref="V186" si="289">V185/5280</f>
        <v>1.7578280935460471E-15</v>
      </c>
      <c r="W186" s="57">
        <f t="shared" ref="W186" si="290">W185/5280</f>
        <v>9.7613604881461702E-16</v>
      </c>
      <c r="X186" s="57">
        <f t="shared" ref="X186" si="291">X185/5280</f>
        <v>4.2864948170828353E-16</v>
      </c>
      <c r="Y186" s="57">
        <f>Y185/5280</f>
        <v>1.0612966648281073E-16</v>
      </c>
      <c r="AA186" s="13" t="str">
        <f t="shared" si="195"/>
        <v>Downrange - Miles</v>
      </c>
    </row>
    <row r="187" spans="2:27">
      <c r="E187" s="10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AA187" s="13"/>
    </row>
    <row r="188" spans="2:27">
      <c r="E188" s="51" t="s">
        <v>59</v>
      </c>
      <c r="F188" s="56">
        <f t="shared" ref="F188" si="292">SQRT(F186^2+F173^2)</f>
        <v>3209.2974540788282</v>
      </c>
      <c r="G188" s="56">
        <f t="shared" ref="G188" si="293">SQRT(G186^2+G173^2)</f>
        <v>3291.2045708412356</v>
      </c>
      <c r="H188" s="56">
        <f t="shared" ref="H188" si="294">SQRT(H186^2+H173^2)</f>
        <v>3486.1811820726516</v>
      </c>
      <c r="I188" s="56">
        <f t="shared" ref="I188" si="295">SQRT(I186^2+I173^2)</f>
        <v>3748.1685423402646</v>
      </c>
      <c r="J188" s="56">
        <f t="shared" ref="J188" si="296">SQRT(J186^2+J173^2)</f>
        <v>4052.9542607846688</v>
      </c>
      <c r="K188" s="56">
        <f t="shared" ref="K188" si="297">SQRT(K186^2+K173^2)</f>
        <v>4386.6196914460088</v>
      </c>
      <c r="L188" s="56">
        <f t="shared" ref="L188" si="298">SQRT(L186^2+L173^2)</f>
        <v>4649.3491570768892</v>
      </c>
      <c r="M188" s="56">
        <f t="shared" ref="M188" si="299">SQRT(M186^2+M173^2)</f>
        <v>4625.191186983795</v>
      </c>
      <c r="N188" s="56">
        <f t="shared" ref="N188" si="300">SQRT(N186^2+N173^2)</f>
        <v>4377.5856804562809</v>
      </c>
      <c r="O188" s="56">
        <f t="shared" ref="O188" si="301">SQRT(O186^2+O173^2)</f>
        <v>3975.2568259761815</v>
      </c>
      <c r="P188" s="56">
        <f t="shared" ref="P188" si="302">SQRT(P186^2+P173^2)</f>
        <v>3487.8703351510303</v>
      </c>
      <c r="Q188" s="56">
        <f t="shared" ref="Q188" si="303">SQRT(Q186^2+Q173^2)</f>
        <v>2999.1284073732427</v>
      </c>
      <c r="R188" s="56">
        <f t="shared" ref="R188" si="304">SQRT(R186^2+R173^2)</f>
        <v>2535.1066592518059</v>
      </c>
      <c r="S188" s="56">
        <f t="shared" ref="S188" si="305">SQRT(S186^2+S173^2)</f>
        <v>2115.6534844015332</v>
      </c>
      <c r="T188" s="56">
        <f t="shared" ref="T188" si="306">SQRT(T186^2+T173^2)</f>
        <v>1740.1131130974975</v>
      </c>
      <c r="U188" s="56">
        <f t="shared" ref="U188" si="307">SQRT(U186^2+U173^2)</f>
        <v>1406.1339645698029</v>
      </c>
      <c r="V188" s="56">
        <f t="shared" ref="V188" si="308">SQRT(V186^2+V173^2)</f>
        <v>1115.2804808847807</v>
      </c>
      <c r="W188" s="56">
        <f t="shared" ref="W188" si="309">SQRT(W186^2+W173^2)</f>
        <v>869.13205781079216</v>
      </c>
      <c r="X188" s="56">
        <f t="shared" ref="X188" si="310">SQRT(X186^2+X173^2)</f>
        <v>659.50125853154327</v>
      </c>
      <c r="Y188" s="56">
        <f>SQRT(Y186^2+Y173^2)</f>
        <v>472.83856510748359</v>
      </c>
      <c r="Z188" s="55"/>
      <c r="AA188" s="53" t="str">
        <f t="shared" ref="AA188:AA189" si="311">E188</f>
        <v>Axial Velocity - MPH</v>
      </c>
    </row>
    <row r="189" spans="2:27" ht="15" thickBot="1">
      <c r="E189" s="51" t="s">
        <v>83</v>
      </c>
      <c r="F189" s="58">
        <f>SQRT(F169^2+F180^2)</f>
        <v>5.3626225206586362</v>
      </c>
      <c r="G189" s="58">
        <f t="shared" ref="G189:Y189" si="312">SQRT(G169^2+G180^2)</f>
        <v>4.5689917282413361</v>
      </c>
      <c r="H189" s="58">
        <f t="shared" si="312"/>
        <v>4.0330320334253216</v>
      </c>
      <c r="I189" s="58">
        <f t="shared" si="312"/>
        <v>3.6478177140279446</v>
      </c>
      <c r="J189" s="58">
        <f t="shared" si="312"/>
        <v>3.3434889220619031</v>
      </c>
      <c r="K189" s="58">
        <f t="shared" si="312"/>
        <v>3.0369920032640114</v>
      </c>
      <c r="L189" s="58">
        <f t="shared" si="312"/>
        <v>2.5976695847226114</v>
      </c>
      <c r="M189" s="58">
        <f t="shared" si="312"/>
        <v>2.1842061998278299</v>
      </c>
      <c r="N189" s="58">
        <f t="shared" si="312"/>
        <v>1.8016160459052402</v>
      </c>
      <c r="O189" s="58">
        <f t="shared" si="312"/>
        <v>1.468259954060319</v>
      </c>
      <c r="P189" s="58">
        <f t="shared" si="312"/>
        <v>1.2458781791458857</v>
      </c>
      <c r="Q189" s="58">
        <f t="shared" si="312"/>
        <v>1.0742126570890236</v>
      </c>
      <c r="R189" s="58">
        <f t="shared" si="312"/>
        <v>0.95783059657077241</v>
      </c>
      <c r="S189" s="58">
        <f t="shared" si="312"/>
        <v>0.85755473900263868</v>
      </c>
      <c r="T189" s="58">
        <f t="shared" si="312"/>
        <v>0.76264876810306592</v>
      </c>
      <c r="U189" s="58">
        <f t="shared" si="312"/>
        <v>0.66417035916382483</v>
      </c>
      <c r="V189" s="58">
        <f t="shared" si="312"/>
        <v>0.56208536507578666</v>
      </c>
      <c r="W189" s="58">
        <f t="shared" si="312"/>
        <v>0.47869656393690385</v>
      </c>
      <c r="X189" s="58">
        <f t="shared" si="312"/>
        <v>0.42624838651822167</v>
      </c>
      <c r="Y189" s="58">
        <f t="shared" si="312"/>
        <v>0.39468068393195926</v>
      </c>
      <c r="AA189" s="13" t="str">
        <f t="shared" si="311"/>
        <v>Axial G's</v>
      </c>
    </row>
    <row r="190" spans="2:27" ht="21.6" thickBot="1">
      <c r="B190" s="26" t="s">
        <v>122</v>
      </c>
      <c r="C190" s="27"/>
      <c r="D190" s="27"/>
      <c r="E190" s="29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8"/>
    </row>
    <row r="191" spans="2:27" ht="21">
      <c r="B191" s="32"/>
      <c r="C191" s="33"/>
      <c r="D191" s="33"/>
      <c r="E191" s="10" t="s">
        <v>91</v>
      </c>
      <c r="F191" s="1">
        <f t="shared" ref="F191:W191" si="313">G191+1</f>
        <v>20</v>
      </c>
      <c r="G191" s="1">
        <f t="shared" si="313"/>
        <v>19</v>
      </c>
      <c r="H191" s="1">
        <f t="shared" si="313"/>
        <v>18</v>
      </c>
      <c r="I191" s="1">
        <f t="shared" si="313"/>
        <v>17</v>
      </c>
      <c r="J191" s="1">
        <f t="shared" si="313"/>
        <v>16</v>
      </c>
      <c r="K191" s="1">
        <f t="shared" si="313"/>
        <v>15</v>
      </c>
      <c r="L191" s="1">
        <f t="shared" si="313"/>
        <v>14</v>
      </c>
      <c r="M191" s="1">
        <f t="shared" si="313"/>
        <v>13</v>
      </c>
      <c r="N191" s="1">
        <f t="shared" si="313"/>
        <v>12</v>
      </c>
      <c r="O191" s="1">
        <f t="shared" si="313"/>
        <v>11</v>
      </c>
      <c r="P191" s="1">
        <f t="shared" si="313"/>
        <v>10</v>
      </c>
      <c r="Q191" s="1">
        <f t="shared" si="313"/>
        <v>9</v>
      </c>
      <c r="R191" s="1">
        <f t="shared" si="313"/>
        <v>8</v>
      </c>
      <c r="S191" s="1">
        <f t="shared" si="313"/>
        <v>7</v>
      </c>
      <c r="T191" s="1">
        <f t="shared" si="313"/>
        <v>6</v>
      </c>
      <c r="U191" s="1">
        <f t="shared" si="313"/>
        <v>5</v>
      </c>
      <c r="V191" s="1">
        <f t="shared" si="313"/>
        <v>4</v>
      </c>
      <c r="W191" s="1">
        <f t="shared" si="313"/>
        <v>3</v>
      </c>
      <c r="X191" s="1">
        <f>Y191+1</f>
        <v>2</v>
      </c>
      <c r="Y191">
        <f>$Y$8</f>
        <v>1</v>
      </c>
    </row>
    <row r="192" spans="2:27">
      <c r="E192" s="10" t="s">
        <v>17</v>
      </c>
      <c r="F192" s="56">
        <f t="shared" ref="F192:X192" si="314">(F145+G145)/2</f>
        <v>1090448.8406431405</v>
      </c>
      <c r="G192" s="56">
        <f t="shared" si="314"/>
        <v>1019921.3805737115</v>
      </c>
      <c r="H192" s="56">
        <f t="shared" si="314"/>
        <v>944934.42602944607</v>
      </c>
      <c r="I192" s="56">
        <f t="shared" si="314"/>
        <v>864337.25659215625</v>
      </c>
      <c r="J192" s="56">
        <f t="shared" si="314"/>
        <v>777619.80190961459</v>
      </c>
      <c r="K192" s="56">
        <f t="shared" si="314"/>
        <v>685718.00746214646</v>
      </c>
      <c r="L192" s="56">
        <f t="shared" si="314"/>
        <v>591807.4596127884</v>
      </c>
      <c r="M192" s="56">
        <f t="shared" si="314"/>
        <v>500282.44661234296</v>
      </c>
      <c r="N192" s="56">
        <f t="shared" si="314"/>
        <v>414910.23226388777</v>
      </c>
      <c r="O192" s="56">
        <f t="shared" si="314"/>
        <v>338051.65701988077</v>
      </c>
      <c r="P192" s="56">
        <f t="shared" si="314"/>
        <v>270680.23994899809</v>
      </c>
      <c r="Q192" s="56">
        <f t="shared" si="314"/>
        <v>212723.18434140546</v>
      </c>
      <c r="R192" s="56">
        <f t="shared" si="314"/>
        <v>163559.12818524137</v>
      </c>
      <c r="S192" s="56">
        <f t="shared" si="314"/>
        <v>122375.76555037771</v>
      </c>
      <c r="T192" s="56">
        <f t="shared" si="314"/>
        <v>88364.525386205933</v>
      </c>
      <c r="U192" s="56">
        <f t="shared" si="314"/>
        <v>60787.002298955835</v>
      </c>
      <c r="V192" s="56">
        <f t="shared" si="314"/>
        <v>38970.742298582569</v>
      </c>
      <c r="W192" s="56">
        <f t="shared" si="314"/>
        <v>22301.394036829952</v>
      </c>
      <c r="X192" s="56">
        <f t="shared" si="314"/>
        <v>10965.580862980794</v>
      </c>
      <c r="Y192" s="56">
        <f>(Y145+Z145)/2</f>
        <v>3375.5256473335276</v>
      </c>
      <c r="AA192" s="1" t="str">
        <f>E192</f>
        <v>Ave. Height - Feet</v>
      </c>
    </row>
    <row r="193" spans="5:31" ht="15">
      <c r="E193" s="10" t="s">
        <v>18</v>
      </c>
      <c r="F193" s="18" t="str">
        <f t="shared" ref="F193:Y193" si="315">IF(F192&lt;36000,80-0.00356*F192,"")</f>
        <v/>
      </c>
      <c r="G193" s="18" t="str">
        <f t="shared" si="315"/>
        <v/>
      </c>
      <c r="H193" s="18" t="str">
        <f t="shared" si="315"/>
        <v/>
      </c>
      <c r="I193" s="18" t="str">
        <f t="shared" si="315"/>
        <v/>
      </c>
      <c r="J193" s="18" t="str">
        <f t="shared" si="315"/>
        <v/>
      </c>
      <c r="K193" s="18" t="str">
        <f t="shared" si="315"/>
        <v/>
      </c>
      <c r="L193" s="18" t="str">
        <f t="shared" si="315"/>
        <v/>
      </c>
      <c r="M193" s="18" t="str">
        <f t="shared" si="315"/>
        <v/>
      </c>
      <c r="N193" s="18" t="str">
        <f t="shared" si="315"/>
        <v/>
      </c>
      <c r="O193" s="18" t="str">
        <f t="shared" si="315"/>
        <v/>
      </c>
      <c r="P193" s="18" t="str">
        <f t="shared" si="315"/>
        <v/>
      </c>
      <c r="Q193" s="18" t="str">
        <f t="shared" si="315"/>
        <v/>
      </c>
      <c r="R193" s="18" t="str">
        <f t="shared" si="315"/>
        <v/>
      </c>
      <c r="S193" s="18" t="str">
        <f t="shared" si="315"/>
        <v/>
      </c>
      <c r="T193" s="18" t="str">
        <f t="shared" si="315"/>
        <v/>
      </c>
      <c r="U193" s="18" t="str">
        <f t="shared" si="315"/>
        <v/>
      </c>
      <c r="V193" s="18" t="str">
        <f t="shared" si="315"/>
        <v/>
      </c>
      <c r="W193" s="18">
        <f t="shared" si="315"/>
        <v>0.6070372288853747</v>
      </c>
      <c r="X193" s="18">
        <f t="shared" si="315"/>
        <v>40.962532127788371</v>
      </c>
      <c r="Y193" s="18">
        <f t="shared" si="315"/>
        <v>67.983128695492638</v>
      </c>
      <c r="AA193" s="1" t="str">
        <f>E193</f>
        <v>Ambient Temperature - º F</v>
      </c>
    </row>
    <row r="194" spans="5:31" ht="15">
      <c r="E194" s="10" t="s">
        <v>18</v>
      </c>
      <c r="F194" t="str">
        <f t="shared" ref="F194:U194" si="316">IF(AND(F192&gt;=36000,F192&lt;=82000),-70,"")</f>
        <v/>
      </c>
      <c r="G194" t="str">
        <f t="shared" si="316"/>
        <v/>
      </c>
      <c r="H194" t="str">
        <f t="shared" si="316"/>
        <v/>
      </c>
      <c r="I194" t="str">
        <f t="shared" si="316"/>
        <v/>
      </c>
      <c r="J194" t="str">
        <f t="shared" si="316"/>
        <v/>
      </c>
      <c r="K194" t="str">
        <f t="shared" si="316"/>
        <v/>
      </c>
      <c r="L194" t="str">
        <f t="shared" si="316"/>
        <v/>
      </c>
      <c r="M194" t="str">
        <f t="shared" si="316"/>
        <v/>
      </c>
      <c r="N194" t="str">
        <f t="shared" si="316"/>
        <v/>
      </c>
      <c r="O194" t="str">
        <f t="shared" si="316"/>
        <v/>
      </c>
      <c r="P194" t="str">
        <f t="shared" si="316"/>
        <v/>
      </c>
      <c r="Q194" t="str">
        <f t="shared" si="316"/>
        <v/>
      </c>
      <c r="R194" t="str">
        <f t="shared" si="316"/>
        <v/>
      </c>
      <c r="S194" t="str">
        <f t="shared" si="316"/>
        <v/>
      </c>
      <c r="T194" t="str">
        <f t="shared" si="316"/>
        <v/>
      </c>
      <c r="U194">
        <f t="shared" si="316"/>
        <v>-70</v>
      </c>
      <c r="V194">
        <f>IF(AND(V192&gt;=36000,V192&lt;=82000),-70,"")</f>
        <v>-70</v>
      </c>
      <c r="W194" t="str">
        <f t="shared" ref="W194:X194" si="317">IF(AND(W192&gt;=36000,W192&lt;=82000),-70,"")</f>
        <v/>
      </c>
      <c r="X194" t="str">
        <f t="shared" si="317"/>
        <v/>
      </c>
      <c r="Y194" t="str">
        <f t="shared" ref="Y194" si="318">IF(AND(Y192&gt;=3600,Y192&lt;=82000)*Y192&gt;=36000,-70,"")</f>
        <v/>
      </c>
      <c r="AA194" s="1" t="str">
        <f t="shared" ref="AA194:AA206" si="319">E194</f>
        <v>Ambient Temperature - º F</v>
      </c>
    </row>
    <row r="195" spans="5:31" ht="15">
      <c r="E195" s="10" t="s">
        <v>18</v>
      </c>
      <c r="F195" s="15">
        <f t="shared" ref="F195:R195" si="320">IF(F192&gt;82000,-205.05+0.00164*F192,"")</f>
        <v>1583.2860986547505</v>
      </c>
      <c r="G195" s="15">
        <f t="shared" si="320"/>
        <v>1467.6210641408868</v>
      </c>
      <c r="H195" s="15">
        <f t="shared" si="320"/>
        <v>1344.6424586882915</v>
      </c>
      <c r="I195" s="15">
        <f t="shared" si="320"/>
        <v>1212.4631008111362</v>
      </c>
      <c r="J195" s="15">
        <f t="shared" si="320"/>
        <v>1070.246475131768</v>
      </c>
      <c r="K195" s="15">
        <f t="shared" si="320"/>
        <v>919.52753223792024</v>
      </c>
      <c r="L195" s="15">
        <f t="shared" si="320"/>
        <v>765.51423376497291</v>
      </c>
      <c r="M195" s="15">
        <f t="shared" si="320"/>
        <v>615.41321244424239</v>
      </c>
      <c r="N195" s="15">
        <f t="shared" si="320"/>
        <v>475.40278091277588</v>
      </c>
      <c r="O195" s="15">
        <f t="shared" si="320"/>
        <v>349.3547175126044</v>
      </c>
      <c r="P195" s="15">
        <f t="shared" si="320"/>
        <v>238.86559351635685</v>
      </c>
      <c r="Q195" s="15">
        <f t="shared" si="320"/>
        <v>143.81602231990496</v>
      </c>
      <c r="R195" s="15">
        <f t="shared" si="320"/>
        <v>63.186970223795811</v>
      </c>
      <c r="S195" s="15">
        <f>IF(S192&gt;82000,-205.05+0.00164*S192,"")</f>
        <v>-4.3537444973805748</v>
      </c>
      <c r="T195" s="15">
        <f t="shared" ref="T195:Y195" si="321">IF(T192&gt;82000,-205.05+0.00164*T192,"")</f>
        <v>-60.132178366622298</v>
      </c>
      <c r="U195" s="15" t="str">
        <f t="shared" si="321"/>
        <v/>
      </c>
      <c r="V195" s="15" t="str">
        <f t="shared" si="321"/>
        <v/>
      </c>
      <c r="W195" s="15" t="str">
        <f t="shared" si="321"/>
        <v/>
      </c>
      <c r="X195" s="15" t="str">
        <f t="shared" si="321"/>
        <v/>
      </c>
      <c r="Y195" s="15" t="str">
        <f t="shared" si="321"/>
        <v/>
      </c>
      <c r="AA195" s="1" t="str">
        <f t="shared" si="319"/>
        <v>Ambient Temperature - º F</v>
      </c>
    </row>
    <row r="196" spans="5:31" ht="15">
      <c r="E196" s="10" t="s">
        <v>18</v>
      </c>
      <c r="F196" s="19">
        <f t="shared" ref="F196:X196" si="322">MAX(F193:F195)</f>
        <v>1583.2860986547505</v>
      </c>
      <c r="G196" s="19">
        <f t="shared" si="322"/>
        <v>1467.6210641408868</v>
      </c>
      <c r="H196" s="19">
        <f t="shared" si="322"/>
        <v>1344.6424586882915</v>
      </c>
      <c r="I196" s="19">
        <f t="shared" si="322"/>
        <v>1212.4631008111362</v>
      </c>
      <c r="J196" s="19">
        <f t="shared" si="322"/>
        <v>1070.246475131768</v>
      </c>
      <c r="K196" s="19">
        <f t="shared" si="322"/>
        <v>919.52753223792024</v>
      </c>
      <c r="L196" s="19">
        <f t="shared" si="322"/>
        <v>765.51423376497291</v>
      </c>
      <c r="M196" s="19">
        <f t="shared" si="322"/>
        <v>615.41321244424239</v>
      </c>
      <c r="N196" s="19">
        <f t="shared" si="322"/>
        <v>475.40278091277588</v>
      </c>
      <c r="O196" s="19">
        <f t="shared" si="322"/>
        <v>349.3547175126044</v>
      </c>
      <c r="P196" s="19">
        <f t="shared" si="322"/>
        <v>238.86559351635685</v>
      </c>
      <c r="Q196" s="19">
        <f t="shared" si="322"/>
        <v>143.81602231990496</v>
      </c>
      <c r="R196" s="19">
        <f t="shared" si="322"/>
        <v>63.186970223795811</v>
      </c>
      <c r="S196" s="19">
        <f t="shared" si="322"/>
        <v>-4.3537444973805748</v>
      </c>
      <c r="T196" s="19">
        <f t="shared" si="322"/>
        <v>-60.132178366622298</v>
      </c>
      <c r="U196" s="19">
        <f t="shared" si="322"/>
        <v>-70</v>
      </c>
      <c r="V196" s="19">
        <f t="shared" si="322"/>
        <v>-70</v>
      </c>
      <c r="W196" s="19">
        <f t="shared" si="322"/>
        <v>0.6070372288853747</v>
      </c>
      <c r="X196" s="19">
        <f t="shared" si="322"/>
        <v>40.962532127788371</v>
      </c>
      <c r="Y196" s="19">
        <f>MAX(Y193:Y195)</f>
        <v>67.983128695492638</v>
      </c>
      <c r="Z196">
        <v>75</v>
      </c>
      <c r="AA196" s="1" t="str">
        <f t="shared" si="319"/>
        <v>Ambient Temperature - º F</v>
      </c>
    </row>
    <row r="197" spans="5:31">
      <c r="E197" s="10" t="s">
        <v>34</v>
      </c>
      <c r="F197" s="19">
        <f t="shared" ref="F197" si="323">(G196+F196)/2</f>
        <v>1525.4535813978187</v>
      </c>
      <c r="G197" s="19">
        <f t="shared" ref="G197" si="324">(H196+G196)/2</f>
        <v>1406.1317614145892</v>
      </c>
      <c r="H197" s="19">
        <f t="shared" ref="H197" si="325">(I196+H196)/2</f>
        <v>1278.5527797497139</v>
      </c>
      <c r="I197" s="19">
        <f t="shared" ref="I197" si="326">(J196+I196)/2</f>
        <v>1141.354787971452</v>
      </c>
      <c r="J197" s="19">
        <f t="shared" ref="J197" si="327">(K196+J196)/2</f>
        <v>994.8870036848441</v>
      </c>
      <c r="K197" s="19">
        <f t="shared" ref="K197" si="328">(L196+K196)/2</f>
        <v>842.52088300144658</v>
      </c>
      <c r="L197" s="19">
        <f t="shared" ref="L197" si="329">(M196+L196)/2</f>
        <v>690.46372310460765</v>
      </c>
      <c r="M197" s="19">
        <f t="shared" ref="M197" si="330">(N196+M196)/2</f>
        <v>545.40799667850911</v>
      </c>
      <c r="N197" s="19">
        <f t="shared" ref="N197" si="331">(O196+N196)/2</f>
        <v>412.37874921269014</v>
      </c>
      <c r="O197" s="19">
        <f t="shared" ref="O197" si="332">(P196+O196)/2</f>
        <v>294.11015551448065</v>
      </c>
      <c r="P197" s="19">
        <f t="shared" ref="P197" si="333">(Q196+P196)/2</f>
        <v>191.34080791813091</v>
      </c>
      <c r="Q197" s="19">
        <f t="shared" ref="Q197" si="334">(R196+Q196)/2</f>
        <v>103.50149627185039</v>
      </c>
      <c r="R197" s="19">
        <f t="shared" ref="R197" si="335">(S196+R196)/2</f>
        <v>29.416612863207618</v>
      </c>
      <c r="S197" s="19">
        <f t="shared" ref="S197" si="336">(T196+S196)/2</f>
        <v>-32.242961432001437</v>
      </c>
      <c r="T197" s="19">
        <f t="shared" ref="T197" si="337">(U196+T196)/2</f>
        <v>-65.066089183311149</v>
      </c>
      <c r="U197" s="19">
        <f t="shared" ref="U197" si="338">(V196+U196)/2</f>
        <v>-70</v>
      </c>
      <c r="V197" s="19">
        <f t="shared" ref="V197" si="339">(W196+V196)/2</f>
        <v>-34.696481385557313</v>
      </c>
      <c r="W197" s="19">
        <f t="shared" ref="W197" si="340">(X196+W196)/2</f>
        <v>20.784784678336873</v>
      </c>
      <c r="X197" s="19">
        <f t="shared" ref="X197" si="341">(Y196+X196)/2</f>
        <v>54.472830411640501</v>
      </c>
      <c r="Y197" s="19">
        <f>(Z196+Y196)/2</f>
        <v>71.491564347746319</v>
      </c>
      <c r="AA197" s="1" t="str">
        <f t="shared" si="319"/>
        <v>Averare Temp This Stage - º F</v>
      </c>
    </row>
    <row r="198" spans="5:31">
      <c r="E198" s="10"/>
      <c r="AA198" s="1">
        <f t="shared" si="319"/>
        <v>0</v>
      </c>
    </row>
    <row r="199" spans="5:31">
      <c r="E199" s="10" t="s">
        <v>19</v>
      </c>
      <c r="F199" s="5" t="str">
        <f t="shared" ref="F199:X199" si="342">IF(F192&lt;36000,144*(14.696/101330)*101325* (  (1-2.25577* 10^-5*(F192/3.28)))^5.256,"")</f>
        <v/>
      </c>
      <c r="G199" s="5" t="str">
        <f t="shared" si="342"/>
        <v/>
      </c>
      <c r="H199" s="5" t="str">
        <f t="shared" si="342"/>
        <v/>
      </c>
      <c r="I199" s="5" t="str">
        <f t="shared" si="342"/>
        <v/>
      </c>
      <c r="J199" s="5" t="str">
        <f t="shared" si="342"/>
        <v/>
      </c>
      <c r="K199" s="5" t="str">
        <f t="shared" si="342"/>
        <v/>
      </c>
      <c r="L199" s="5" t="str">
        <f t="shared" si="342"/>
        <v/>
      </c>
      <c r="M199" s="5" t="str">
        <f t="shared" si="342"/>
        <v/>
      </c>
      <c r="N199" s="5" t="str">
        <f t="shared" si="342"/>
        <v/>
      </c>
      <c r="O199" s="5" t="str">
        <f t="shared" si="342"/>
        <v/>
      </c>
      <c r="P199" s="5" t="str">
        <f t="shared" si="342"/>
        <v/>
      </c>
      <c r="Q199" s="5" t="str">
        <f t="shared" si="342"/>
        <v/>
      </c>
      <c r="R199" s="5" t="str">
        <f t="shared" si="342"/>
        <v/>
      </c>
      <c r="S199" s="5" t="str">
        <f t="shared" si="342"/>
        <v/>
      </c>
      <c r="T199" s="5" t="str">
        <f t="shared" si="342"/>
        <v/>
      </c>
      <c r="U199" s="5" t="str">
        <f t="shared" si="342"/>
        <v/>
      </c>
      <c r="V199" s="5" t="str">
        <f t="shared" si="342"/>
        <v/>
      </c>
      <c r="W199" s="5">
        <f t="shared" si="342"/>
        <v>882.0355357167407</v>
      </c>
      <c r="X199" s="5">
        <f t="shared" si="342"/>
        <v>1401.3899842807734</v>
      </c>
      <c r="Y199" s="5">
        <f>IF(Y192&lt;36000,144*(14.696/101330)*101325* (  (1-2.25577* 10^-5*(Y192/3.28)))^5.256,"")</f>
        <v>1870.3567035728229</v>
      </c>
      <c r="AA199" s="1" t="str">
        <f t="shared" si="319"/>
        <v>Ambient Pressure - psf</v>
      </c>
    </row>
    <row r="200" spans="5:31">
      <c r="E200" s="10" t="s">
        <v>19</v>
      </c>
      <c r="F200" s="12" t="str">
        <f t="shared" ref="F200:X200" si="343">IF(AND(F192&gt;=36000,F192&lt;=82000),  473.1*2.73^(1.73-0.000048*F192),"")</f>
        <v/>
      </c>
      <c r="G200" s="12" t="str">
        <f t="shared" si="343"/>
        <v/>
      </c>
      <c r="H200" s="12" t="str">
        <f t="shared" si="343"/>
        <v/>
      </c>
      <c r="I200" s="12" t="str">
        <f t="shared" si="343"/>
        <v/>
      </c>
      <c r="J200" s="12" t="str">
        <f t="shared" si="343"/>
        <v/>
      </c>
      <c r="K200" s="12" t="str">
        <f t="shared" si="343"/>
        <v/>
      </c>
      <c r="L200" s="12" t="str">
        <f t="shared" si="343"/>
        <v/>
      </c>
      <c r="M200" s="12" t="str">
        <f t="shared" si="343"/>
        <v/>
      </c>
      <c r="N200" s="12" t="str">
        <f t="shared" si="343"/>
        <v/>
      </c>
      <c r="O200" s="12" t="str">
        <f t="shared" si="343"/>
        <v/>
      </c>
      <c r="P200" s="12" t="str">
        <f t="shared" si="343"/>
        <v/>
      </c>
      <c r="Q200" s="12" t="str">
        <f t="shared" si="343"/>
        <v/>
      </c>
      <c r="R200" s="12" t="str">
        <f t="shared" si="343"/>
        <v/>
      </c>
      <c r="S200" s="12" t="str">
        <f t="shared" si="343"/>
        <v/>
      </c>
      <c r="T200" s="12" t="str">
        <f t="shared" si="343"/>
        <v/>
      </c>
      <c r="U200" s="12">
        <f t="shared" si="343"/>
        <v>143.51238292645237</v>
      </c>
      <c r="V200" s="12">
        <f t="shared" si="343"/>
        <v>410.79995349508482</v>
      </c>
      <c r="W200" s="12" t="str">
        <f t="shared" si="343"/>
        <v/>
      </c>
      <c r="X200" s="12" t="str">
        <f t="shared" si="343"/>
        <v/>
      </c>
      <c r="Y200" s="12" t="str">
        <f>IF(AND(Y192&gt;=36000,Y192&lt;=82000),  473.1*2.73^(1.73-0.000048*Y192),"")</f>
        <v/>
      </c>
      <c r="AA200" s="1" t="str">
        <f t="shared" si="319"/>
        <v>Ambient Pressure - psf</v>
      </c>
    </row>
    <row r="201" spans="5:31">
      <c r="E201" s="10" t="s">
        <v>19</v>
      </c>
      <c r="F201" s="16">
        <f t="shared" ref="F201:S201" si="344">IF(F192&gt;82000,51.97*((F196+459.7)/389.98)^-11.388,"")</f>
        <v>3.3515084661386323E-7</v>
      </c>
      <c r="G201" s="16">
        <f t="shared" si="344"/>
        <v>6.5085748173453608E-7</v>
      </c>
      <c r="H201" s="16">
        <f t="shared" si="344"/>
        <v>1.3790576142893768E-6</v>
      </c>
      <c r="I201" s="16">
        <f t="shared" si="344"/>
        <v>3.2797876285246475E-6</v>
      </c>
      <c r="J201" s="17">
        <f t="shared" si="344"/>
        <v>9.0250545563597121E-6</v>
      </c>
      <c r="K201" s="17">
        <f t="shared" si="344"/>
        <v>2.940146651750161E-5</v>
      </c>
      <c r="L201" s="17">
        <f t="shared" si="344"/>
        <v>1.1323591386714705E-4</v>
      </c>
      <c r="M201" s="17">
        <f t="shared" si="344"/>
        <v>5.0158253717545287E-4</v>
      </c>
      <c r="N201" s="14">
        <f t="shared" si="344"/>
        <v>2.4569513994228036E-3</v>
      </c>
      <c r="O201" s="14">
        <f t="shared" si="344"/>
        <v>1.2778814444116819E-2</v>
      </c>
      <c r="P201" s="14">
        <f t="shared" si="344"/>
        <v>6.8031701086343863E-2</v>
      </c>
      <c r="Q201" s="14">
        <f t="shared" si="344"/>
        <v>0.35979798190228218</v>
      </c>
      <c r="R201" s="14">
        <f t="shared" si="344"/>
        <v>1.8421058217182762</v>
      </c>
      <c r="S201" s="14">
        <f t="shared" si="344"/>
        <v>8.8991136994285256</v>
      </c>
      <c r="T201" s="14">
        <f>IF(T192&gt;82000,51.97*((T196+459.7)/389.98)^-11.388,"")</f>
        <v>39.412151662265252</v>
      </c>
      <c r="U201" s="14" t="str">
        <f t="shared" ref="U201:Y201" si="345">IF(U192&gt;82000,51.97*((U196+459.7)/389.98)^-11.388,"")</f>
        <v/>
      </c>
      <c r="V201" s="14" t="str">
        <f t="shared" si="345"/>
        <v/>
      </c>
      <c r="W201" s="14" t="str">
        <f t="shared" si="345"/>
        <v/>
      </c>
      <c r="X201" s="14" t="str">
        <f t="shared" si="345"/>
        <v/>
      </c>
      <c r="Y201" s="14" t="str">
        <f t="shared" si="345"/>
        <v/>
      </c>
      <c r="AA201" s="1" t="str">
        <f t="shared" si="319"/>
        <v>Ambient Pressure - psf</v>
      </c>
    </row>
    <row r="202" spans="5:31">
      <c r="E202" s="10" t="s">
        <v>19</v>
      </c>
      <c r="F202" s="22">
        <f t="shared" ref="F202:Y202" si="346">MAX(F199:F201)</f>
        <v>3.3515084661386323E-7</v>
      </c>
      <c r="G202" s="22">
        <f t="shared" si="346"/>
        <v>6.5085748173453608E-7</v>
      </c>
      <c r="H202" s="22">
        <f t="shared" si="346"/>
        <v>1.3790576142893768E-6</v>
      </c>
      <c r="I202" s="22">
        <f t="shared" si="346"/>
        <v>3.2797876285246475E-6</v>
      </c>
      <c r="J202" s="21">
        <f t="shared" si="346"/>
        <v>9.0250545563597121E-6</v>
      </c>
      <c r="K202" s="21">
        <f t="shared" si="346"/>
        <v>2.940146651750161E-5</v>
      </c>
      <c r="L202" s="21">
        <f t="shared" si="346"/>
        <v>1.1323591386714705E-4</v>
      </c>
      <c r="M202" s="21">
        <f t="shared" si="346"/>
        <v>5.0158253717545287E-4</v>
      </c>
      <c r="N202" s="20">
        <f t="shared" si="346"/>
        <v>2.4569513994228036E-3</v>
      </c>
      <c r="O202" s="20">
        <f t="shared" si="346"/>
        <v>1.2778814444116819E-2</v>
      </c>
      <c r="P202" s="20">
        <f t="shared" si="346"/>
        <v>6.8031701086343863E-2</v>
      </c>
      <c r="Q202" s="20">
        <f t="shared" si="346"/>
        <v>0.35979798190228218</v>
      </c>
      <c r="R202" s="20">
        <f t="shared" si="346"/>
        <v>1.8421058217182762</v>
      </c>
      <c r="S202" s="20">
        <f t="shared" si="346"/>
        <v>8.8991136994285256</v>
      </c>
      <c r="T202" s="20">
        <f t="shared" si="346"/>
        <v>39.412151662265252</v>
      </c>
      <c r="U202" s="20">
        <f t="shared" si="346"/>
        <v>143.51238292645237</v>
      </c>
      <c r="V202" s="20">
        <f t="shared" si="346"/>
        <v>410.79995349508482</v>
      </c>
      <c r="W202" s="20">
        <f t="shared" si="346"/>
        <v>882.0355357167407</v>
      </c>
      <c r="X202" s="20">
        <f t="shared" si="346"/>
        <v>1401.3899842807734</v>
      </c>
      <c r="Y202" s="20">
        <f t="shared" si="346"/>
        <v>1870.3567035728229</v>
      </c>
      <c r="Z202" s="20">
        <f>Z203*144</f>
        <v>2116.7999999999997</v>
      </c>
      <c r="AA202" s="1" t="str">
        <f t="shared" si="319"/>
        <v>Ambient Pressure - psf</v>
      </c>
    </row>
    <row r="203" spans="5:31">
      <c r="E203" s="10" t="s">
        <v>35</v>
      </c>
      <c r="F203" s="19">
        <f t="shared" ref="F203" si="347">(G202+F202)/2</f>
        <v>4.9300416417419968E-7</v>
      </c>
      <c r="G203" s="19">
        <f t="shared" ref="G203" si="348">(H202+G202)/2</f>
        <v>1.0149575480119565E-6</v>
      </c>
      <c r="H203" s="19">
        <f t="shared" ref="H203" si="349">(I202+H202)/2</f>
        <v>2.3294226214070119E-6</v>
      </c>
      <c r="I203" s="19">
        <f t="shared" ref="I203" si="350">(J202+I202)/2</f>
        <v>6.1524210924421796E-6</v>
      </c>
      <c r="J203" s="19">
        <f t="shared" ref="J203" si="351">(K202+J202)/2</f>
        <v>1.921326053693066E-5</v>
      </c>
      <c r="K203" s="19">
        <f t="shared" ref="K203" si="352">(L202+K202)/2</f>
        <v>7.1318690192324324E-5</v>
      </c>
      <c r="L203" s="19">
        <f t="shared" ref="L203" si="353">(M202+L202)/2</f>
        <v>3.0740922552129996E-4</v>
      </c>
      <c r="M203" s="19">
        <f t="shared" ref="M203" si="354">(N202+M202)/2</f>
        <v>1.4792669682991283E-3</v>
      </c>
      <c r="N203" s="19">
        <f t="shared" ref="N203" si="355">(O202+N202)/2</f>
        <v>7.617882921769811E-3</v>
      </c>
      <c r="O203" s="19">
        <f t="shared" ref="O203" si="356">(P202+O202)/2</f>
        <v>4.0405257765230337E-2</v>
      </c>
      <c r="P203" s="19">
        <f t="shared" ref="P203" si="357">(Q202+P202)/2</f>
        <v>0.21391484149431303</v>
      </c>
      <c r="Q203" s="19">
        <f t="shared" ref="Q203" si="358">(R202+Q202)/2</f>
        <v>1.1009519018102791</v>
      </c>
      <c r="R203" s="19">
        <f t="shared" ref="R203" si="359">(S202+R202)/2</f>
        <v>5.3706097605734007</v>
      </c>
      <c r="S203" s="19">
        <f t="shared" ref="S203" si="360">(T202+S202)/2</f>
        <v>24.155632680846889</v>
      </c>
      <c r="T203" s="19">
        <f t="shared" ref="T203" si="361">(U202+T202)/2</f>
        <v>91.46226729435881</v>
      </c>
      <c r="U203" s="19">
        <f t="shared" ref="U203" si="362">(V202+U202)/2</f>
        <v>277.15616821076861</v>
      </c>
      <c r="V203" s="19">
        <f t="shared" ref="V203" si="363">(W202+V202)/2</f>
        <v>646.41774460591273</v>
      </c>
      <c r="W203" s="19">
        <f t="shared" ref="W203" si="364">(X202+W202)/2</f>
        <v>1141.7127599987571</v>
      </c>
      <c r="X203" s="19">
        <f t="shared" ref="X203" si="365">(Y202+X202)/2</f>
        <v>1635.873343926798</v>
      </c>
      <c r="Y203" s="19">
        <f>(Z202+Y202)/2</f>
        <v>1993.5783517864113</v>
      </c>
      <c r="Z203">
        <v>14.7</v>
      </c>
      <c r="AA203" s="1" t="str">
        <f t="shared" si="319"/>
        <v>Average Pressure this Stage - psf</v>
      </c>
    </row>
    <row r="204" spans="5:31">
      <c r="E204" s="10"/>
      <c r="F204" s="17">
        <f t="shared" ref="F204:Y204" si="366">F202/144</f>
        <v>2.3274364348184946E-9</v>
      </c>
      <c r="G204" s="17">
        <f t="shared" si="366"/>
        <v>4.5198436231565009E-9</v>
      </c>
      <c r="H204" s="17">
        <f t="shared" si="366"/>
        <v>9.5767889881206715E-9</v>
      </c>
      <c r="I204" s="17">
        <f t="shared" si="366"/>
        <v>2.2776302975865608E-8</v>
      </c>
      <c r="J204" s="17">
        <f t="shared" si="366"/>
        <v>6.2673989974720222E-8</v>
      </c>
      <c r="K204" s="17">
        <f t="shared" si="366"/>
        <v>2.0417685081598339E-7</v>
      </c>
      <c r="L204" s="17">
        <f t="shared" si="366"/>
        <v>7.863605129662989E-7</v>
      </c>
      <c r="M204" s="17">
        <f t="shared" si="366"/>
        <v>3.4832120637184226E-6</v>
      </c>
      <c r="N204" s="17">
        <f t="shared" si="366"/>
        <v>1.7062162495991693E-5</v>
      </c>
      <c r="O204" s="17">
        <f t="shared" si="366"/>
        <v>8.874176697303346E-5</v>
      </c>
      <c r="P204" s="17">
        <f t="shared" si="366"/>
        <v>4.7244236865516569E-4</v>
      </c>
      <c r="Q204" s="17">
        <f t="shared" si="366"/>
        <v>2.4985970965436264E-3</v>
      </c>
      <c r="R204" s="17">
        <f t="shared" si="366"/>
        <v>1.2792401539710251E-2</v>
      </c>
      <c r="S204" s="17">
        <f t="shared" si="366"/>
        <v>6.1799400690475875E-2</v>
      </c>
      <c r="T204" s="17">
        <f t="shared" si="366"/>
        <v>0.27369549765461981</v>
      </c>
      <c r="U204" s="17">
        <f t="shared" si="366"/>
        <v>0.99661377032258591</v>
      </c>
      <c r="V204" s="17">
        <f t="shared" si="366"/>
        <v>2.852777454826978</v>
      </c>
      <c r="W204" s="17">
        <f t="shared" si="366"/>
        <v>6.125246775810699</v>
      </c>
      <c r="X204" s="17">
        <f t="shared" si="366"/>
        <v>9.7318748908387036</v>
      </c>
      <c r="Y204" s="17">
        <f t="shared" si="366"/>
        <v>12.988588219255714</v>
      </c>
      <c r="Z204" t="s">
        <v>22</v>
      </c>
      <c r="AA204" s="1">
        <f t="shared" si="319"/>
        <v>0</v>
      </c>
      <c r="AE204" s="8"/>
    </row>
    <row r="205" spans="5:31">
      <c r="E205" s="10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AA205" s="1">
        <f t="shared" si="319"/>
        <v>0</v>
      </c>
      <c r="AE205" s="8"/>
    </row>
    <row r="206" spans="5:31">
      <c r="E206" s="10" t="s">
        <v>20</v>
      </c>
      <c r="F206" s="23">
        <f t="shared" ref="F206:Y206" si="367">F202/(1718*(F196+459.7))</f>
        <v>9.5488649200111269E-14</v>
      </c>
      <c r="G206" s="23">
        <f t="shared" si="367"/>
        <v>1.965661239977424E-13</v>
      </c>
      <c r="H206" s="23">
        <f t="shared" si="367"/>
        <v>4.4487733679578768E-13</v>
      </c>
      <c r="I206" s="23">
        <f t="shared" si="367"/>
        <v>1.1416787775921927E-12</v>
      </c>
      <c r="J206" s="23">
        <f t="shared" si="367"/>
        <v>3.433605840531022E-12</v>
      </c>
      <c r="K206" s="23">
        <f t="shared" si="367"/>
        <v>1.2408232304929667E-11</v>
      </c>
      <c r="L206" s="23">
        <f t="shared" si="367"/>
        <v>5.3795877551166187E-11</v>
      </c>
      <c r="M206" s="23">
        <f t="shared" si="367"/>
        <v>2.7155953061913695E-10</v>
      </c>
      <c r="N206" s="23">
        <f t="shared" si="367"/>
        <v>1.5293752504149976E-9</v>
      </c>
      <c r="O206" s="23">
        <f t="shared" si="367"/>
        <v>9.1936826784655101E-9</v>
      </c>
      <c r="P206" s="23">
        <f t="shared" si="367"/>
        <v>5.6686674408920314E-8</v>
      </c>
      <c r="Q206" s="23">
        <f t="shared" si="367"/>
        <v>3.470138104751852E-7</v>
      </c>
      <c r="R206" s="23">
        <f t="shared" si="367"/>
        <v>2.050612478182044E-6</v>
      </c>
      <c r="S206" s="23">
        <f t="shared" si="367"/>
        <v>1.1375796816938168E-5</v>
      </c>
      <c r="T206" s="23">
        <f t="shared" si="367"/>
        <v>5.7413824823424324E-5</v>
      </c>
      <c r="U206" s="23">
        <f t="shared" si="367"/>
        <v>2.1435608198427968E-4</v>
      </c>
      <c r="V206" s="23">
        <f t="shared" si="367"/>
        <v>6.1358794770802899E-4</v>
      </c>
      <c r="W206" s="23">
        <f t="shared" si="367"/>
        <v>1.1153606243185931E-3</v>
      </c>
      <c r="X206" s="23">
        <f t="shared" si="367"/>
        <v>1.6292613618187706E-3</v>
      </c>
      <c r="Y206" s="23">
        <f t="shared" si="367"/>
        <v>2.0631370209104986E-3</v>
      </c>
      <c r="AA206" s="1" t="str">
        <f t="shared" si="319"/>
        <v>Air density - slugs/CF</v>
      </c>
    </row>
    <row r="207" spans="5:31">
      <c r="F207" s="11">
        <f t="shared" ref="F207:X207" si="368">F206*515.4</f>
        <v>4.9214849797737343E-11</v>
      </c>
      <c r="G207" s="11">
        <f t="shared" si="368"/>
        <v>1.0131018030843643E-10</v>
      </c>
      <c r="H207" s="11">
        <f t="shared" si="368"/>
        <v>2.2928977938454895E-10</v>
      </c>
      <c r="I207" s="11">
        <f t="shared" si="368"/>
        <v>5.8842124197101606E-10</v>
      </c>
      <c r="J207" s="11">
        <f t="shared" si="368"/>
        <v>1.7696804502096886E-9</v>
      </c>
      <c r="K207" s="11">
        <f t="shared" si="368"/>
        <v>6.3952029299607495E-9</v>
      </c>
      <c r="L207" s="11">
        <f t="shared" si="368"/>
        <v>2.7726395289871052E-8</v>
      </c>
      <c r="M207" s="11">
        <f t="shared" si="368"/>
        <v>1.3996178208110319E-7</v>
      </c>
      <c r="N207" s="11">
        <f t="shared" si="368"/>
        <v>7.8824000406388977E-7</v>
      </c>
      <c r="O207" s="11">
        <f t="shared" si="368"/>
        <v>4.7384240524811238E-6</v>
      </c>
      <c r="P207" s="11">
        <f t="shared" si="368"/>
        <v>2.9216311990357529E-5</v>
      </c>
      <c r="Q207" s="11">
        <f t="shared" si="368"/>
        <v>1.7885091791891043E-4</v>
      </c>
      <c r="R207" s="11">
        <f t="shared" si="368"/>
        <v>1.0568856712550253E-3</v>
      </c>
      <c r="S207" s="11">
        <f t="shared" si="368"/>
        <v>5.8630856794499317E-3</v>
      </c>
      <c r="T207" s="11">
        <f t="shared" si="368"/>
        <v>2.9591085313992894E-2</v>
      </c>
      <c r="U207" s="11">
        <f t="shared" si="368"/>
        <v>0.11047912465469774</v>
      </c>
      <c r="V207" s="11">
        <f t="shared" si="368"/>
        <v>0.31624322824871814</v>
      </c>
      <c r="W207" s="11">
        <f t="shared" si="368"/>
        <v>0.57485686577380279</v>
      </c>
      <c r="X207" s="11">
        <f t="shared" si="368"/>
        <v>0.83972130588139438</v>
      </c>
      <c r="Y207" s="11">
        <f>Y206*515.4</f>
        <v>1.063340820577271</v>
      </c>
      <c r="AA207" s="1" t="s">
        <v>60</v>
      </c>
    </row>
    <row r="208" spans="5:31">
      <c r="F208" s="24">
        <f t="shared" ref="F208:X208" si="369">F207*1000/1000000</f>
        <v>4.9214849797737348E-14</v>
      </c>
      <c r="G208" s="24">
        <f t="shared" si="369"/>
        <v>1.0131018030843643E-13</v>
      </c>
      <c r="H208" s="24">
        <f t="shared" si="369"/>
        <v>2.2928977938454894E-13</v>
      </c>
      <c r="I208" s="24">
        <f t="shared" si="369"/>
        <v>5.8842124197101606E-13</v>
      </c>
      <c r="J208" s="24">
        <f t="shared" si="369"/>
        <v>1.7696804502096885E-12</v>
      </c>
      <c r="K208" s="24">
        <f t="shared" si="369"/>
        <v>6.3952029299607501E-12</v>
      </c>
      <c r="L208" s="24">
        <f t="shared" si="369"/>
        <v>2.7726395289871051E-11</v>
      </c>
      <c r="M208" s="24">
        <f t="shared" si="369"/>
        <v>1.3996178208110318E-10</v>
      </c>
      <c r="N208" s="24">
        <f t="shared" si="369"/>
        <v>7.8824000406388981E-10</v>
      </c>
      <c r="O208" s="24">
        <f t="shared" si="369"/>
        <v>4.7384240524811244E-9</v>
      </c>
      <c r="P208" s="24">
        <f t="shared" si="369"/>
        <v>2.9216311990357531E-8</v>
      </c>
      <c r="Q208" s="23">
        <f t="shared" si="369"/>
        <v>1.7885091791891045E-7</v>
      </c>
      <c r="R208" s="23">
        <f t="shared" si="369"/>
        <v>1.0568856712550253E-6</v>
      </c>
      <c r="S208" s="23">
        <f t="shared" si="369"/>
        <v>5.8630856794499321E-6</v>
      </c>
      <c r="T208" s="23">
        <f t="shared" si="369"/>
        <v>2.9591085313992895E-5</v>
      </c>
      <c r="U208" s="23">
        <f t="shared" si="369"/>
        <v>1.1047912465469775E-4</v>
      </c>
      <c r="V208" s="23">
        <f t="shared" si="369"/>
        <v>3.1624322824871812E-4</v>
      </c>
      <c r="W208" s="23">
        <f t="shared" si="369"/>
        <v>5.748568657738028E-4</v>
      </c>
      <c r="X208" s="23">
        <f t="shared" si="369"/>
        <v>8.3972130588139441E-4</v>
      </c>
      <c r="Y208" s="23">
        <f>Y207*1000/1000000</f>
        <v>1.0633408205772709E-3</v>
      </c>
      <c r="AA208" s="1" t="s">
        <v>21</v>
      </c>
    </row>
    <row r="209" spans="2:31">
      <c r="E209" s="10" t="s">
        <v>65</v>
      </c>
      <c r="F209" s="15">
        <f>$G$3*(F206*F188^2)*F116/2/1000</f>
        <v>8.1588377429636915E-9</v>
      </c>
      <c r="G209" s="15">
        <f>$G$3*(G206*G188^2)*G116/2/1000</f>
        <v>2.3516400391862285E-8</v>
      </c>
      <c r="H209" s="15">
        <f>$G$3*(H206*H188^2)*H116/2/1000</f>
        <v>7.6702219704527298E-8</v>
      </c>
      <c r="I209" s="15">
        <f>$G$3*(I206*I188^2)*I116/2/1000</f>
        <v>2.8422302119039986E-7</v>
      </c>
      <c r="J209" s="15">
        <f>$G$3*(J206*J188^2)*J116/2/1000</f>
        <v>1.2209625194029504E-6</v>
      </c>
      <c r="K209" s="15">
        <f>$G$3*(K206*K188^2)*K116/2/1000</f>
        <v>6.2000537435261817E-6</v>
      </c>
      <c r="L209" s="15">
        <f>$G$3*(L206*L188^2)*L116/2/1000</f>
        <v>3.5676581716014377E-5</v>
      </c>
      <c r="M209" s="15">
        <f>$G$3*(M206*M188^2)*M116/2/1000</f>
        <v>2.0788437841871263E-4</v>
      </c>
      <c r="N209" s="15">
        <f>$G$3*(N206*N188^2)*N116/2/1000</f>
        <v>1.2098994031311044E-3</v>
      </c>
      <c r="O209" s="15">
        <f>$G$3*(O206*O188^2)*O116/2/1000</f>
        <v>6.853512043336939E-3</v>
      </c>
      <c r="P209" s="15">
        <f>$G$3*(P206*P188^2)*P116/2/1000</f>
        <v>3.6863742204951297E-2</v>
      </c>
      <c r="Q209" s="15">
        <f>$G$3*(Q206*Q188^2)*Q116/2/1000</f>
        <v>0.18769074902985608</v>
      </c>
      <c r="R209" s="15">
        <f>$G$3*(R206*R188^2)*R116/2/1000</f>
        <v>0.88562407658832631</v>
      </c>
      <c r="S209" s="15">
        <f>$G$3*(S206*S188^2)*S116/2/1000</f>
        <v>3.8016314733781762</v>
      </c>
      <c r="T209" s="15">
        <f>$G$3*(T206*T188^2)*T116/2/1000</f>
        <v>14.345280729699391</v>
      </c>
      <c r="U209" s="15">
        <f>$G$3*(U206*U188^2)*U116/2/1000</f>
        <v>38.467682014511368</v>
      </c>
      <c r="V209" s="15">
        <f>$G$3*(V206*V188^2)*V116/2/1000</f>
        <v>75.864735783705996</v>
      </c>
      <c r="W209" s="15">
        <f>$G$3*(W206*W188^2)*W116/2/1000</f>
        <v>91.35923646192424</v>
      </c>
      <c r="X209" s="15">
        <f>$G$3*(X206*X188^2)*X116/2/1000</f>
        <v>83.518767036961151</v>
      </c>
      <c r="Y209" s="15">
        <f>$G$3*(Y206*Y188^2)*Y116/2/1000</f>
        <v>58.893057865132597</v>
      </c>
      <c r="AA209" s="1" t="str">
        <f t="shared" ref="AA209:AA210" si="370">E209</f>
        <v>Drag - #</v>
      </c>
      <c r="AE209" s="15" t="s">
        <v>67</v>
      </c>
    </row>
    <row r="210" spans="2:31">
      <c r="E210" s="51" t="s">
        <v>66</v>
      </c>
      <c r="F210" s="56">
        <f t="shared" ref="F210" si="371">(G209+F209)/2</f>
        <v>1.583761906741299E-8</v>
      </c>
      <c r="G210" s="56">
        <f t="shared" ref="G210" si="372">(H209+G209)/2</f>
        <v>5.0109310048194793E-8</v>
      </c>
      <c r="H210" s="56">
        <f t="shared" ref="H210" si="373">(I209+H209)/2</f>
        <v>1.8046262044746357E-7</v>
      </c>
      <c r="I210" s="56">
        <f t="shared" ref="I210" si="374">(J209+I209)/2</f>
        <v>7.5259277029667512E-7</v>
      </c>
      <c r="J210" s="56">
        <f t="shared" ref="J210" si="375">(K209+J209)/2</f>
        <v>3.7105081314645661E-6</v>
      </c>
      <c r="K210" s="56">
        <f t="shared" ref="K210" si="376">(L209+K209)/2</f>
        <v>2.0938317729770278E-5</v>
      </c>
      <c r="L210" s="56">
        <f t="shared" ref="L210" si="377">(M209+L209)/2</f>
        <v>1.2178048006736351E-4</v>
      </c>
      <c r="M210" s="56">
        <f t="shared" ref="M210" si="378">(N209+M209)/2</f>
        <v>7.0889189077490849E-4</v>
      </c>
      <c r="N210" s="56">
        <f t="shared" ref="N210" si="379">(O209+N209)/2</f>
        <v>4.0317057232340213E-3</v>
      </c>
      <c r="O210" s="56">
        <f t="shared" ref="O210" si="380">(P209+O209)/2</f>
        <v>2.1858627124144117E-2</v>
      </c>
      <c r="P210" s="56">
        <f t="shared" ref="P210" si="381">(Q209+P209)/2</f>
        <v>0.11227724561740368</v>
      </c>
      <c r="Q210" s="56">
        <f t="shared" ref="Q210" si="382">(R209+Q209)/2</f>
        <v>0.53665741280909118</v>
      </c>
      <c r="R210" s="56">
        <f t="shared" ref="R210" si="383">(S209+R209)/2</f>
        <v>2.3436277749832515</v>
      </c>
      <c r="S210" s="56">
        <f t="shared" ref="S210" si="384">(T209+S209)/2</f>
        <v>9.0734561015387847</v>
      </c>
      <c r="T210" s="56">
        <f t="shared" ref="T210" si="385">(U209+T209)/2</f>
        <v>26.406481372105379</v>
      </c>
      <c r="U210" s="56">
        <f t="shared" ref="U210" si="386">(V209+U209)/2</f>
        <v>57.166208899108682</v>
      </c>
      <c r="V210" s="56">
        <f t="shared" ref="V210" si="387">(W209+V209)/2</f>
        <v>83.611986122815125</v>
      </c>
      <c r="W210" s="56">
        <f t="shared" ref="W210" si="388">(X209+W209)/2</f>
        <v>87.439001749442696</v>
      </c>
      <c r="X210" s="56">
        <f t="shared" ref="X210" si="389">(Y209+X209)/2</f>
        <v>71.205912451046871</v>
      </c>
      <c r="Y210" s="56">
        <f>(Z209+Y209)/2</f>
        <v>29.446528932566299</v>
      </c>
      <c r="Z210" s="55"/>
      <c r="AA210" s="50" t="str">
        <f t="shared" si="370"/>
        <v xml:space="preserve"> Average Drag - K</v>
      </c>
    </row>
    <row r="211" spans="2:31" ht="15" thickBot="1"/>
    <row r="212" spans="2:31" ht="21.6" thickBot="1">
      <c r="B212" s="26" t="s">
        <v>70</v>
      </c>
      <c r="C212" s="27"/>
      <c r="D212" s="27"/>
      <c r="E212" s="29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1"/>
      <c r="AA212" s="13"/>
    </row>
    <row r="213" spans="2:31" ht="21">
      <c r="B213" s="32"/>
      <c r="C213" s="33"/>
      <c r="D213" s="33"/>
      <c r="E213" s="10" t="s">
        <v>91</v>
      </c>
      <c r="F213" s="1">
        <f t="shared" ref="F213:W213" si="390">G213+1</f>
        <v>20</v>
      </c>
      <c r="G213" s="1">
        <f t="shared" si="390"/>
        <v>19</v>
      </c>
      <c r="H213" s="1">
        <f t="shared" si="390"/>
        <v>18</v>
      </c>
      <c r="I213" s="1">
        <f t="shared" si="390"/>
        <v>17</v>
      </c>
      <c r="J213" s="1">
        <f t="shared" si="390"/>
        <v>16</v>
      </c>
      <c r="K213" s="1">
        <f t="shared" si="390"/>
        <v>15</v>
      </c>
      <c r="L213" s="1">
        <f t="shared" si="390"/>
        <v>14</v>
      </c>
      <c r="M213" s="1">
        <f t="shared" si="390"/>
        <v>13</v>
      </c>
      <c r="N213" s="1">
        <f t="shared" si="390"/>
        <v>12</v>
      </c>
      <c r="O213" s="1">
        <f t="shared" si="390"/>
        <v>11</v>
      </c>
      <c r="P213" s="1">
        <f t="shared" si="390"/>
        <v>10</v>
      </c>
      <c r="Q213" s="1">
        <f t="shared" si="390"/>
        <v>9</v>
      </c>
      <c r="R213" s="1">
        <f t="shared" si="390"/>
        <v>8</v>
      </c>
      <c r="S213" s="1">
        <f t="shared" si="390"/>
        <v>7</v>
      </c>
      <c r="T213" s="1">
        <f t="shared" si="390"/>
        <v>6</v>
      </c>
      <c r="U213" s="1">
        <f t="shared" si="390"/>
        <v>5</v>
      </c>
      <c r="V213" s="1">
        <f t="shared" si="390"/>
        <v>4</v>
      </c>
      <c r="W213" s="1">
        <f t="shared" si="390"/>
        <v>3</v>
      </c>
      <c r="X213" s="1">
        <f>Y213+1</f>
        <v>2</v>
      </c>
      <c r="Y213">
        <f>$Y$8</f>
        <v>1</v>
      </c>
    </row>
    <row r="214" spans="2:31" ht="15" customHeight="1">
      <c r="B214" s="32"/>
      <c r="C214" s="33"/>
      <c r="D214" s="33"/>
      <c r="E214" s="10" t="s">
        <v>61</v>
      </c>
      <c r="F214" s="8">
        <f t="shared" ref="F214:X214" si="391">F38*SIN((F41/(180/PI())))</f>
        <v>2.6527657784670939</v>
      </c>
      <c r="G214" s="8">
        <f t="shared" si="391"/>
        <v>3.4032192552702849</v>
      </c>
      <c r="H214" s="8">
        <f t="shared" si="391"/>
        <v>4.2583871706971772</v>
      </c>
      <c r="I214" s="8">
        <f t="shared" si="391"/>
        <v>5.2357219311850534</v>
      </c>
      <c r="J214" s="8">
        <f t="shared" si="391"/>
        <v>6.3177711302966308</v>
      </c>
      <c r="K214" s="8">
        <f t="shared" ref="K214:U214" si="392">K38*SIN((K41/(180/PI())))</f>
        <v>37.476969381493014</v>
      </c>
      <c r="L214" s="8">
        <f t="shared" si="392"/>
        <v>172.37815223613703</v>
      </c>
      <c r="M214" s="8">
        <f t="shared" si="392"/>
        <v>335.54221526536196</v>
      </c>
      <c r="N214" s="8">
        <f t="shared" si="392"/>
        <v>514.78186577595318</v>
      </c>
      <c r="O214" s="8">
        <f t="shared" si="392"/>
        <v>693.32545708303724</v>
      </c>
      <c r="P214" s="8">
        <f t="shared" si="392"/>
        <v>835.52583974004403</v>
      </c>
      <c r="Q214" s="8">
        <f t="shared" si="392"/>
        <v>967.30505184708488</v>
      </c>
      <c r="R214" s="8">
        <f t="shared" si="392"/>
        <v>1083</v>
      </c>
      <c r="S214" s="8">
        <f t="shared" si="392"/>
        <v>1201</v>
      </c>
      <c r="T214" s="8">
        <f t="shared" si="392"/>
        <v>1326</v>
      </c>
      <c r="U214" s="8">
        <f t="shared" si="392"/>
        <v>1457</v>
      </c>
      <c r="V214" s="8">
        <f t="shared" si="391"/>
        <v>1594</v>
      </c>
      <c r="W214" s="8">
        <f t="shared" si="391"/>
        <v>1738</v>
      </c>
      <c r="X214" s="8">
        <f t="shared" si="391"/>
        <v>1888</v>
      </c>
      <c r="Y214" s="8">
        <f>Y38*SIN((Y41/(180/PI())))</f>
        <v>2044</v>
      </c>
      <c r="AA214" s="13" t="str">
        <f>E214</f>
        <v>Axial Thrust Y - K</v>
      </c>
    </row>
    <row r="215" spans="2:31" ht="15" customHeight="1">
      <c r="B215" s="32"/>
      <c r="C215" s="33"/>
      <c r="D215" s="33"/>
      <c r="E215" s="10" t="s">
        <v>38</v>
      </c>
      <c r="F215" s="8">
        <f t="shared" ref="F215" si="393">F214-F$113-F209</f>
        <v>-5.7072342296917435</v>
      </c>
      <c r="G215" s="8">
        <f t="shared" ref="G215" si="394">G214-G$113-G209</f>
        <v>-19.481780768246118</v>
      </c>
      <c r="H215" s="8">
        <f t="shared" ref="H215" si="395">H214-H$113-H209</f>
        <v>-36.921612906005045</v>
      </c>
      <c r="I215" s="8">
        <f t="shared" ref="I215" si="396">I214-I$113-I209</f>
        <v>-58.544278353037967</v>
      </c>
      <c r="J215" s="8">
        <f t="shared" ref="J215" si="397">J214-J$113-J209</f>
        <v>-84.87223009066588</v>
      </c>
      <c r="K215" s="8">
        <f t="shared" ref="K215" si="398">K214-K$113-K209</f>
        <v>-86.413036818560727</v>
      </c>
      <c r="L215" s="8">
        <f t="shared" ref="L215" si="399">L214-L$113-L209</f>
        <v>10.018116559555297</v>
      </c>
      <c r="M215" s="8">
        <f t="shared" ref="M215" si="400">M214-M$113-M209</f>
        <v>128.40700738098354</v>
      </c>
      <c r="N215" s="8">
        <f t="shared" ref="N215" si="401">N214-N$113-N209</f>
        <v>256.06065587655007</v>
      </c>
      <c r="O215" s="8">
        <f t="shared" ref="O215" si="402">O214-O$113-O209</f>
        <v>375.72360357099387</v>
      </c>
      <c r="P215" s="8">
        <f t="shared" ref="P215" si="403">P214-P$113-P209</f>
        <v>451.19397599783906</v>
      </c>
      <c r="Q215" s="8">
        <f t="shared" ref="Q215" si="404">Q214-Q$113-Q209</f>
        <v>507.79236109805498</v>
      </c>
      <c r="R215" s="8">
        <f t="shared" ref="R215" si="405">R214-R$113-R209</f>
        <v>538.94937592341171</v>
      </c>
      <c r="S215" s="8">
        <f t="shared" ref="S215" si="406">S214-S$113-S209</f>
        <v>560.90336852662176</v>
      </c>
      <c r="T215" s="8">
        <f t="shared" ref="T215" si="407">T214-T$113-T209</f>
        <v>572.40471927030057</v>
      </c>
      <c r="U215" s="8">
        <f t="shared" ref="U215" si="408">U214-U$113-U209</f>
        <v>565.99731798548851</v>
      </c>
      <c r="V215" s="8">
        <f t="shared" ref="V215" si="409">V214-V$113-V209</f>
        <v>541.50526421629399</v>
      </c>
      <c r="W215" s="8">
        <f t="shared" ref="W215" si="410">W214-W$113-W209</f>
        <v>534.57076353807588</v>
      </c>
      <c r="X215" s="8">
        <f t="shared" ref="X215" si="411">X214-X$113-X209</f>
        <v>545.12123296303889</v>
      </c>
      <c r="Y215" s="8">
        <f>Y214-Y$113-Y209</f>
        <v>566.12694213486736</v>
      </c>
      <c r="AA215" s="13" t="str">
        <f t="shared" ref="AA215:AA218" si="412">E215</f>
        <v>Net Axial Thrust Y - K</v>
      </c>
    </row>
    <row r="216" spans="2:31" ht="15" customHeight="1">
      <c r="B216" s="32"/>
      <c r="C216" s="33"/>
      <c r="D216" s="33"/>
      <c r="E216" s="10" t="s">
        <v>81</v>
      </c>
      <c r="F216" s="12">
        <f>F215/F114</f>
        <v>-0.20124239173807276</v>
      </c>
      <c r="G216" s="12">
        <f>G215/G114</f>
        <v>-0.45427960285055652</v>
      </c>
      <c r="H216" s="12">
        <f>H215/H114</f>
        <v>-0.60349154798962157</v>
      </c>
      <c r="I216" s="12">
        <f>I215/I114</f>
        <v>-0.69878584809068955</v>
      </c>
      <c r="J216" s="12">
        <f>J215/J114</f>
        <v>-0.76330812204933796</v>
      </c>
      <c r="K216" s="12">
        <f>K215/K114</f>
        <v>-0.60054928638933025</v>
      </c>
      <c r="L216" s="12">
        <f>L215/L114</f>
        <v>5.4935932000193553E-2</v>
      </c>
      <c r="M216" s="12">
        <f>M215/M114</f>
        <v>0.56533342453159374</v>
      </c>
      <c r="N216" s="12">
        <f>N215/N114</f>
        <v>0.91870212355249026</v>
      </c>
      <c r="O216" s="12">
        <f>O215/O114</f>
        <v>1.1129418491713261</v>
      </c>
      <c r="P216" s="12">
        <f>P215/P114</f>
        <v>1.1160018699163705</v>
      </c>
      <c r="Q216" s="12">
        <f>Q215/Q114</f>
        <v>1.0593905202066551</v>
      </c>
      <c r="R216" s="12">
        <f>R215/R114</f>
        <v>0.957000836208592</v>
      </c>
      <c r="S216" s="12">
        <f>S215/S114</f>
        <v>0.85465129023780728</v>
      </c>
      <c r="T216" s="12">
        <f>T215/T114</f>
        <v>0.75390809255225633</v>
      </c>
      <c r="U216" s="12">
        <f>U215/U114</f>
        <v>0.64868150616936682</v>
      </c>
      <c r="V216" s="12">
        <f>V215/V114</f>
        <v>0.54333630757281437</v>
      </c>
      <c r="W216" s="12">
        <f>W215/W114</f>
        <v>0.47220645678984152</v>
      </c>
      <c r="X216" s="12">
        <f>X215/X114</f>
        <v>0.4260890077562523</v>
      </c>
      <c r="Y216" s="12">
        <f>Y215/Y114</f>
        <v>0.39342238400454999</v>
      </c>
      <c r="AA216" s="13" t="str">
        <f t="shared" si="412"/>
        <v>Total G's - Y</v>
      </c>
    </row>
    <row r="217" spans="2:31" ht="15" customHeight="1">
      <c r="B217" s="32"/>
      <c r="C217" s="33"/>
      <c r="D217" s="33"/>
      <c r="E217" s="10" t="s">
        <v>39</v>
      </c>
      <c r="F217" s="7">
        <f t="shared" ref="F217:X217" si="413">32.2*F216</f>
        <v>-6.4800050139659433</v>
      </c>
      <c r="G217" s="7">
        <f t="shared" si="413"/>
        <v>-14.627803211787921</v>
      </c>
      <c r="H217" s="7">
        <f t="shared" si="413"/>
        <v>-19.432427845265817</v>
      </c>
      <c r="I217" s="7">
        <f t="shared" si="413"/>
        <v>-22.500904308520205</v>
      </c>
      <c r="J217" s="7">
        <f t="shared" si="413"/>
        <v>-24.578521529988684</v>
      </c>
      <c r="K217" s="7">
        <f t="shared" si="413"/>
        <v>-19.337687021736436</v>
      </c>
      <c r="L217" s="7">
        <f t="shared" si="413"/>
        <v>1.7689370104062325</v>
      </c>
      <c r="M217" s="7">
        <f t="shared" si="413"/>
        <v>18.203736269917322</v>
      </c>
      <c r="N217" s="7">
        <f t="shared" si="413"/>
        <v>29.582208378390188</v>
      </c>
      <c r="O217" s="7">
        <f t="shared" si="413"/>
        <v>35.836727543316705</v>
      </c>
      <c r="P217" s="7">
        <f t="shared" si="413"/>
        <v>35.935260211307131</v>
      </c>
      <c r="Q217" s="7">
        <f t="shared" si="413"/>
        <v>34.112374750654297</v>
      </c>
      <c r="R217" s="7">
        <f t="shared" si="413"/>
        <v>30.815426925916665</v>
      </c>
      <c r="S217" s="7">
        <f t="shared" si="413"/>
        <v>27.519771545657395</v>
      </c>
      <c r="T217" s="7">
        <f t="shared" si="413"/>
        <v>24.275840580182656</v>
      </c>
      <c r="U217" s="7">
        <f t="shared" si="413"/>
        <v>20.887544498653615</v>
      </c>
      <c r="V217" s="7">
        <f t="shared" si="413"/>
        <v>17.495429103844625</v>
      </c>
      <c r="W217" s="7">
        <f t="shared" si="413"/>
        <v>15.205047908632899</v>
      </c>
      <c r="X217" s="7">
        <f t="shared" si="413"/>
        <v>13.720066049751326</v>
      </c>
      <c r="Y217" s="7">
        <f>32.2*Y216</f>
        <v>12.66820076494651</v>
      </c>
      <c r="AA217" s="13" t="str">
        <f t="shared" si="412"/>
        <v>Average Acceleration Y - Ft/sec/sec</v>
      </c>
    </row>
    <row r="218" spans="2:31" ht="15" customHeight="1">
      <c r="B218" s="32"/>
      <c r="C218" s="33"/>
      <c r="D218" s="33"/>
      <c r="E218" s="10" t="s">
        <v>54</v>
      </c>
      <c r="F218" s="8">
        <f t="shared" ref="F218" si="414">F217*$N$4</f>
        <v>-129.60010027931887</v>
      </c>
      <c r="G218" s="8">
        <f t="shared" ref="G218" si="415">G217*$N$4</f>
        <v>-292.55606423575841</v>
      </c>
      <c r="H218" s="8">
        <f t="shared" ref="H218" si="416">H217*$N$4</f>
        <v>-388.64855690531635</v>
      </c>
      <c r="I218" s="8">
        <f t="shared" ref="I218" si="417">I217*$N$4</f>
        <v>-450.0180861704041</v>
      </c>
      <c r="J218" s="8">
        <f t="shared" ref="J218" si="418">J217*$N$4</f>
        <v>-491.57043059977366</v>
      </c>
      <c r="K218" s="8">
        <f t="shared" ref="K218" si="419">K217*$N$4</f>
        <v>-386.75374043472868</v>
      </c>
      <c r="L218" s="8">
        <f t="shared" ref="L218" si="420">L217*$N$4</f>
        <v>35.378740208124654</v>
      </c>
      <c r="M218" s="8">
        <f t="shared" ref="M218" si="421">M217*$N$4</f>
        <v>364.07472539834646</v>
      </c>
      <c r="N218" s="8">
        <f t="shared" ref="N218" si="422">N217*$N$4</f>
        <v>591.64416756780372</v>
      </c>
      <c r="O218" s="8">
        <f t="shared" ref="O218" si="423">O217*$N$4</f>
        <v>716.73455086633408</v>
      </c>
      <c r="P218" s="8">
        <f t="shared" ref="P218" si="424">P217*$N$4</f>
        <v>718.70520422614265</v>
      </c>
      <c r="Q218" s="8">
        <f t="shared" ref="Q218" si="425">Q217*$N$4</f>
        <v>682.24749501308588</v>
      </c>
      <c r="R218" s="8">
        <f t="shared" ref="R218" si="426">R217*$N$4</f>
        <v>616.30853851833331</v>
      </c>
      <c r="S218" s="8">
        <f t="shared" ref="S218" si="427">S217*$N$4</f>
        <v>550.39543091314795</v>
      </c>
      <c r="T218" s="8">
        <f t="shared" ref="T218" si="428">T217*$N$4</f>
        <v>485.51681160365314</v>
      </c>
      <c r="U218" s="8">
        <f t="shared" ref="U218" si="429">U217*$N$4</f>
        <v>417.75088997307228</v>
      </c>
      <c r="V218" s="8">
        <f t="shared" ref="V218" si="430">V217*$N$4</f>
        <v>349.90858207689251</v>
      </c>
      <c r="W218" s="8">
        <f t="shared" ref="W218" si="431">W217*$N$4</f>
        <v>304.10095817265801</v>
      </c>
      <c r="X218" s="8">
        <f t="shared" ref="X218" si="432">X217*$N$4</f>
        <v>274.40132099502654</v>
      </c>
      <c r="Y218" s="8">
        <f>Y217*$N$4</f>
        <v>253.36401529893021</v>
      </c>
      <c r="AA218" s="13" t="str">
        <f t="shared" si="412"/>
        <v>Delta Vy - Ft/sec/Sec</v>
      </c>
    </row>
    <row r="219" spans="2:31" ht="15" customHeight="1">
      <c r="B219" s="32"/>
      <c r="C219" s="33"/>
      <c r="D219" s="33"/>
      <c r="E219" s="10" t="s">
        <v>57</v>
      </c>
      <c r="F219" s="8">
        <f t="shared" ref="F219" si="433">G219+F218</f>
        <v>4662.5609227944851</v>
      </c>
      <c r="G219" s="8">
        <f t="shared" ref="G219" si="434">H219+G218</f>
        <v>4792.1610230738042</v>
      </c>
      <c r="H219" s="8">
        <f t="shared" ref="H219" si="435">I219+H218</f>
        <v>5084.7170873095629</v>
      </c>
      <c r="I219" s="8">
        <f t="shared" ref="I219" si="436">J219+I218</f>
        <v>5473.3656442148795</v>
      </c>
      <c r="J219" s="8">
        <f t="shared" ref="J219" si="437">K219+J218</f>
        <v>5923.3837303852833</v>
      </c>
      <c r="K219" s="8">
        <f t="shared" ref="K219" si="438">L219+K218</f>
        <v>6414.9541609850567</v>
      </c>
      <c r="L219" s="8">
        <f t="shared" ref="L219" si="439">M219+L218</f>
        <v>6801.7079014197852</v>
      </c>
      <c r="M219" s="8">
        <f t="shared" ref="M219" si="440">N219+M218</f>
        <v>6766.3291612116609</v>
      </c>
      <c r="N219" s="8">
        <f t="shared" ref="N219" si="441">O219+N218</f>
        <v>6402.2544358133146</v>
      </c>
      <c r="O219" s="8">
        <f t="shared" ref="O219" si="442">P219+O218</f>
        <v>5810.6102682455112</v>
      </c>
      <c r="P219" s="8">
        <f t="shared" ref="P219" si="443">Q219+P218</f>
        <v>5093.8757173791773</v>
      </c>
      <c r="Q219" s="8">
        <f t="shared" ref="Q219" si="444">R219+Q218</f>
        <v>4375.1705131530343</v>
      </c>
      <c r="R219" s="8">
        <f t="shared" ref="R219" si="445">S219+R218</f>
        <v>3692.9230181399489</v>
      </c>
      <c r="S219" s="8">
        <f t="shared" ref="S219" si="446">T219+S218</f>
        <v>3076.6144796216158</v>
      </c>
      <c r="T219" s="8">
        <f t="shared" ref="T219" si="447">U219+T218</f>
        <v>2526.2190487084677</v>
      </c>
      <c r="U219" s="8">
        <f t="shared" ref="U219" si="448">V219+U218</f>
        <v>2040.7022371048147</v>
      </c>
      <c r="V219" s="8">
        <f t="shared" ref="V219" si="449">W219+V218</f>
        <v>1622.9513471317425</v>
      </c>
      <c r="W219" s="8">
        <f t="shared" ref="W219" si="450">X219+W218</f>
        <v>1273.04276505485</v>
      </c>
      <c r="X219" s="8">
        <f t="shared" ref="X219" si="451">Y219+X218</f>
        <v>968.94180688219194</v>
      </c>
      <c r="Y219" s="8">
        <f>Z219+Y218</f>
        <v>694.54048588716546</v>
      </c>
      <c r="Z219" s="8">
        <f>$F$46</f>
        <v>441.17647058823525</v>
      </c>
      <c r="AA219" s="13" t="s">
        <v>57</v>
      </c>
    </row>
    <row r="220" spans="2:31" ht="15" customHeight="1">
      <c r="B220" s="32"/>
      <c r="C220" s="33"/>
      <c r="D220" s="33"/>
      <c r="E220" s="10" t="s">
        <v>58</v>
      </c>
      <c r="F220" s="8">
        <f t="shared" ref="F220:Y220" si="452">F219*0.68</f>
        <v>3170.5414275002499</v>
      </c>
      <c r="G220" s="8">
        <f t="shared" si="452"/>
        <v>3258.669495690187</v>
      </c>
      <c r="H220" s="8">
        <f t="shared" si="452"/>
        <v>3457.607619370503</v>
      </c>
      <c r="I220" s="8">
        <f t="shared" si="452"/>
        <v>3721.8886380661183</v>
      </c>
      <c r="J220" s="8">
        <f t="shared" si="452"/>
        <v>4027.900936661993</v>
      </c>
      <c r="K220" s="8">
        <f t="shared" si="452"/>
        <v>4362.1688294698388</v>
      </c>
      <c r="L220" s="8">
        <f t="shared" si="452"/>
        <v>4625.1613729654546</v>
      </c>
      <c r="M220" s="8">
        <f t="shared" si="452"/>
        <v>4601.1038296239294</v>
      </c>
      <c r="N220" s="8">
        <f t="shared" si="452"/>
        <v>4353.5330163530543</v>
      </c>
      <c r="O220" s="8">
        <f t="shared" si="452"/>
        <v>3951.2149824069479</v>
      </c>
      <c r="P220" s="8">
        <f t="shared" si="452"/>
        <v>3463.8354878178407</v>
      </c>
      <c r="Q220" s="8">
        <f t="shared" si="452"/>
        <v>2975.1159489440633</v>
      </c>
      <c r="R220" s="8">
        <f t="shared" si="452"/>
        <v>2511.1876523351652</v>
      </c>
      <c r="S220" s="8">
        <f t="shared" si="452"/>
        <v>2092.0978461426989</v>
      </c>
      <c r="T220" s="8">
        <f t="shared" si="452"/>
        <v>1717.8289531217581</v>
      </c>
      <c r="U220" s="8">
        <f t="shared" si="452"/>
        <v>1387.6775212312741</v>
      </c>
      <c r="V220" s="8">
        <f t="shared" si="452"/>
        <v>1103.6069160495849</v>
      </c>
      <c r="W220" s="8">
        <f t="shared" si="452"/>
        <v>865.66908023729798</v>
      </c>
      <c r="X220" s="8">
        <f t="shared" si="452"/>
        <v>658.88042867989054</v>
      </c>
      <c r="Y220" s="8">
        <f t="shared" si="452"/>
        <v>472.28753040327257</v>
      </c>
      <c r="AA220" s="13" t="str">
        <f t="shared" ref="AA220:AA223" si="453">E220</f>
        <v>Final VY - MPH</v>
      </c>
    </row>
    <row r="221" spans="2:31" ht="15" customHeight="1">
      <c r="B221" s="32"/>
      <c r="C221" s="33"/>
      <c r="D221" s="33"/>
      <c r="E221" s="10" t="s">
        <v>23</v>
      </c>
      <c r="F221" s="7">
        <f t="shared" ref="F221:X221" si="454">$N$4*(G220+F220)/2</f>
        <v>64292.109231904367</v>
      </c>
      <c r="G221" s="7">
        <f t="shared" si="454"/>
        <v>67162.771150606888</v>
      </c>
      <c r="H221" s="7">
        <f t="shared" si="454"/>
        <v>71794.962574366218</v>
      </c>
      <c r="I221" s="7">
        <f t="shared" si="454"/>
        <v>77497.895747281116</v>
      </c>
      <c r="J221" s="7">
        <f t="shared" si="454"/>
        <v>83900.697661318321</v>
      </c>
      <c r="K221" s="7">
        <f t="shared" si="454"/>
        <v>89873.302024352917</v>
      </c>
      <c r="L221" s="7">
        <f t="shared" si="454"/>
        <v>92262.65202589384</v>
      </c>
      <c r="M221" s="7">
        <f t="shared" si="454"/>
        <v>89546.368459769845</v>
      </c>
      <c r="N221" s="7">
        <f t="shared" si="454"/>
        <v>83047.479987600018</v>
      </c>
      <c r="O221" s="7">
        <f t="shared" si="454"/>
        <v>74150.504702247883</v>
      </c>
      <c r="P221" s="7">
        <f t="shared" si="454"/>
        <v>64389.514367619042</v>
      </c>
      <c r="Q221" s="7">
        <f t="shared" si="454"/>
        <v>54863.03601279229</v>
      </c>
      <c r="R221" s="7">
        <f t="shared" si="454"/>
        <v>46032.854984778642</v>
      </c>
      <c r="S221" s="7">
        <f t="shared" si="454"/>
        <v>38099.267992644571</v>
      </c>
      <c r="T221" s="7">
        <f t="shared" si="454"/>
        <v>31055.064743530318</v>
      </c>
      <c r="U221" s="7">
        <f t="shared" si="454"/>
        <v>24912.844372808591</v>
      </c>
      <c r="V221" s="7">
        <f t="shared" si="454"/>
        <v>19692.759962868829</v>
      </c>
      <c r="W221" s="7">
        <f t="shared" si="454"/>
        <v>15245.495089171887</v>
      </c>
      <c r="X221" s="7">
        <f t="shared" si="454"/>
        <v>11311.679590831631</v>
      </c>
      <c r="Y221" s="7">
        <f>$N$4*(Z220+Y220)/2</f>
        <v>4722.8753040327256</v>
      </c>
      <c r="Z221" s="20"/>
      <c r="AA221" s="13" t="str">
        <f t="shared" si="453"/>
        <v>Delta Y - Ft</v>
      </c>
    </row>
    <row r="222" spans="2:31" ht="15" customHeight="1">
      <c r="B222" s="32"/>
      <c r="C222" s="33"/>
      <c r="D222" s="33"/>
      <c r="E222" s="10" t="s">
        <v>24</v>
      </c>
      <c r="F222" s="7">
        <f t="shared" ref="F222" si="455">G222+F221</f>
        <v>1108154.1359864201</v>
      </c>
      <c r="G222" s="7">
        <f t="shared" ref="G222" si="456">H222+G221</f>
        <v>1043862.0267545157</v>
      </c>
      <c r="H222" s="7">
        <f t="shared" ref="H222" si="457">I222+H221</f>
        <v>976699.25560390879</v>
      </c>
      <c r="I222" s="7">
        <f t="shared" ref="I222" si="458">J222+I221</f>
        <v>904904.29302954255</v>
      </c>
      <c r="J222" s="7">
        <f t="shared" ref="J222" si="459">K222+J221</f>
        <v>827406.3972822614</v>
      </c>
      <c r="K222" s="7">
        <f t="shared" ref="K222" si="460">L222+K221</f>
        <v>743505.69962094305</v>
      </c>
      <c r="L222" s="7">
        <f t="shared" ref="L222" si="461">M222+L221</f>
        <v>653632.3975965901</v>
      </c>
      <c r="M222" s="7">
        <f t="shared" ref="M222" si="462">N222+M221</f>
        <v>561369.74557069631</v>
      </c>
      <c r="N222" s="7">
        <f t="shared" ref="N222" si="463">O222+N221</f>
        <v>471823.37711092643</v>
      </c>
      <c r="O222" s="7">
        <f t="shared" ref="O222" si="464">P222+O221</f>
        <v>388775.89712332643</v>
      </c>
      <c r="P222" s="7">
        <f t="shared" ref="P222" si="465">Q222+P221</f>
        <v>314625.39242107858</v>
      </c>
      <c r="Q222" s="7">
        <f t="shared" ref="Q222" si="466">R222+Q221</f>
        <v>250235.87805345951</v>
      </c>
      <c r="R222" s="7">
        <f t="shared" ref="R222" si="467">S222+R221</f>
        <v>195372.84204066722</v>
      </c>
      <c r="S222" s="7">
        <f t="shared" ref="S222" si="468">T222+S221</f>
        <v>149339.98705588857</v>
      </c>
      <c r="T222" s="7">
        <f t="shared" ref="T222" si="469">U222+T221</f>
        <v>111240.719063244</v>
      </c>
      <c r="U222" s="7">
        <f t="shared" ref="U222" si="470">V222+U221</f>
        <v>80185.654319713678</v>
      </c>
      <c r="V222" s="7">
        <f t="shared" ref="V222" si="471">W222+V221</f>
        <v>55272.809946905079</v>
      </c>
      <c r="W222" s="7">
        <f t="shared" ref="W222" si="472">X222+W221</f>
        <v>35580.049984036246</v>
      </c>
      <c r="X222" s="7">
        <f t="shared" ref="X222" si="473">Y222+X221</f>
        <v>20334.554894864355</v>
      </c>
      <c r="Y222" s="7">
        <f>Z222+Y221</f>
        <v>9022.8753040327247</v>
      </c>
      <c r="Z222" s="59">
        <f>$F$45</f>
        <v>4300</v>
      </c>
      <c r="AA222" s="13" t="str">
        <f t="shared" si="453"/>
        <v>Altitude  - Feet</v>
      </c>
    </row>
    <row r="223" spans="2:31" ht="15" customHeight="1">
      <c r="B223" s="32"/>
      <c r="C223" s="33"/>
      <c r="D223" s="33"/>
      <c r="E223" s="51" t="s">
        <v>10</v>
      </c>
      <c r="F223" s="57">
        <f t="shared" ref="F223" si="474">F222/5280</f>
        <v>209.87767727015532</v>
      </c>
      <c r="G223" s="57">
        <f t="shared" ref="G223" si="475">G222/5280</f>
        <v>197.7011414307795</v>
      </c>
      <c r="H223" s="57">
        <f t="shared" ref="H223" si="476">H222/5280</f>
        <v>184.98091962195241</v>
      </c>
      <c r="I223" s="57">
        <f t="shared" ref="I223" si="477">I222/5280</f>
        <v>171.38338883135276</v>
      </c>
      <c r="J223" s="57">
        <f t="shared" ref="J223" si="478">J222/5280</f>
        <v>156.70575706103435</v>
      </c>
      <c r="K223" s="57">
        <f t="shared" ref="K223" si="479">K222/5280</f>
        <v>140.81547341305739</v>
      </c>
      <c r="L223" s="57">
        <f t="shared" ref="L223" si="480">L222/5280</f>
        <v>123.79401469632388</v>
      </c>
      <c r="M223" s="57">
        <f t="shared" ref="M223" si="481">M222/5280</f>
        <v>106.32002757020763</v>
      </c>
      <c r="N223" s="57">
        <f t="shared" ref="N223" si="482">N222/5280</f>
        <v>89.360488089190611</v>
      </c>
      <c r="O223" s="57">
        <f t="shared" ref="O223" si="483">O222/5280</f>
        <v>73.631798697599706</v>
      </c>
      <c r="P223" s="57">
        <f t="shared" ref="P223" si="484">P222/5280</f>
        <v>59.588142503992152</v>
      </c>
      <c r="Q223" s="57">
        <f t="shared" ref="Q223" si="485">Q222/5280</f>
        <v>47.39315872224612</v>
      </c>
      <c r="R223" s="57">
        <f t="shared" ref="R223" si="486">R222/5280</f>
        <v>37.00243220467182</v>
      </c>
      <c r="S223" s="57">
        <f t="shared" ref="S223" si="487">S222/5280</f>
        <v>28.284088457554653</v>
      </c>
      <c r="T223" s="57">
        <f t="shared" ref="T223" si="488">T222/5280</f>
        <v>21.068318004402272</v>
      </c>
      <c r="U223" s="57">
        <f t="shared" ref="U223" si="489">U222/5280</f>
        <v>15.186676954491228</v>
      </c>
      <c r="V223" s="57">
        <f t="shared" ref="V223" si="490">V222/5280</f>
        <v>10.468335217216872</v>
      </c>
      <c r="W223" s="57">
        <f t="shared" ref="W223" si="491">W222/5280</f>
        <v>6.7386458303098955</v>
      </c>
      <c r="X223" s="57">
        <f t="shared" ref="X223" si="492">X222/5280</f>
        <v>3.8512414573606732</v>
      </c>
      <c r="Y223" s="57">
        <f>Y222/5280</f>
        <v>1.7088778984910464</v>
      </c>
      <c r="AA223" s="13" t="str">
        <f t="shared" si="453"/>
        <v>Height - Miles</v>
      </c>
    </row>
    <row r="224" spans="2:31" ht="15" customHeight="1">
      <c r="B224" s="32"/>
      <c r="C224" s="33"/>
      <c r="D224" s="33"/>
    </row>
    <row r="225" spans="2:34" ht="15" customHeight="1">
      <c r="B225" s="32"/>
      <c r="C225" s="33"/>
      <c r="D225" s="33"/>
    </row>
    <row r="226" spans="2:34" ht="15" customHeight="1">
      <c r="B226" s="32"/>
      <c r="C226" s="33"/>
      <c r="D226" s="33"/>
      <c r="E226" s="10" t="s">
        <v>52</v>
      </c>
      <c r="F226" s="8">
        <f t="shared" ref="F226:X226" si="493">F38*COS((F41/(180/PI())))</f>
        <v>151.97684966377147</v>
      </c>
      <c r="G226" s="8">
        <f t="shared" si="493"/>
        <v>194.97030055549629</v>
      </c>
      <c r="H226" s="8">
        <f t="shared" si="493"/>
        <v>243.96283761815948</v>
      </c>
      <c r="I226" s="8">
        <f t="shared" si="493"/>
        <v>299.95430854691739</v>
      </c>
      <c r="J226" s="8">
        <f t="shared" si="493"/>
        <v>361.94486564661366</v>
      </c>
      <c r="K226" s="8">
        <f t="shared" ref="K226:U226" si="494">K38*COS((K41/(180/PI())))</f>
        <v>428.36372017945058</v>
      </c>
      <c r="L226" s="8">
        <f t="shared" si="494"/>
        <v>473.60508087609787</v>
      </c>
      <c r="M226" s="8">
        <f t="shared" si="494"/>
        <v>479.20394590906022</v>
      </c>
      <c r="N226" s="8">
        <f t="shared" si="494"/>
        <v>431.95327370935445</v>
      </c>
      <c r="O226" s="8">
        <f t="shared" si="494"/>
        <v>323.30297023163507</v>
      </c>
      <c r="P226" s="8">
        <f t="shared" si="494"/>
        <v>223.87847401368043</v>
      </c>
      <c r="Q226" s="8">
        <f t="shared" si="494"/>
        <v>84.628226207976056</v>
      </c>
      <c r="R226" s="8">
        <f t="shared" si="494"/>
        <v>6.6341788833301774E-14</v>
      </c>
      <c r="S226" s="8">
        <f t="shared" si="494"/>
        <v>7.3570164717262632E-14</v>
      </c>
      <c r="T226" s="8">
        <f t="shared" si="494"/>
        <v>8.1227342560441507E-14</v>
      </c>
      <c r="U226" s="8">
        <f t="shared" si="494"/>
        <v>8.9252064940092968E-14</v>
      </c>
      <c r="V226" s="8">
        <f t="shared" si="493"/>
        <v>9.7644331856217015E-14</v>
      </c>
      <c r="W226" s="8">
        <f t="shared" si="493"/>
        <v>1.0646540073155908E-13</v>
      </c>
      <c r="X226" s="8">
        <f t="shared" si="493"/>
        <v>1.1565401414337373E-13</v>
      </c>
      <c r="Y226" s="8">
        <f>Y38*COS((Y41/(180/PI())))</f>
        <v>1.2521017209166097E-13</v>
      </c>
      <c r="AA226" s="13" t="str">
        <f>E226</f>
        <v>Total Axial Thrust X - K</v>
      </c>
    </row>
    <row r="227" spans="2:34" ht="15" customHeight="1">
      <c r="B227" s="32"/>
      <c r="C227" s="33"/>
      <c r="D227" s="33"/>
      <c r="E227" s="10" t="s">
        <v>82</v>
      </c>
      <c r="F227" s="12">
        <f>F226/F114</f>
        <v>5.3588451926576681</v>
      </c>
      <c r="G227" s="12">
        <f>G226/G114</f>
        <v>4.5463518842368256</v>
      </c>
      <c r="H227" s="12">
        <f>H226/H114</f>
        <v>3.9876240212186906</v>
      </c>
      <c r="I227" s="12">
        <f>I226/I114</f>
        <v>3.5802615009180876</v>
      </c>
      <c r="J227" s="12">
        <f>J226/J114</f>
        <v>3.2551926040706327</v>
      </c>
      <c r="K227" s="12">
        <f>K226/K114</f>
        <v>2.9770221709601126</v>
      </c>
      <c r="L227" s="12">
        <f>L226/L114</f>
        <v>2.5970886207287665</v>
      </c>
      <c r="M227" s="12">
        <f>M226/M114</f>
        <v>2.1097758861868945</v>
      </c>
      <c r="N227" s="12">
        <f>N226/N114</f>
        <v>1.5497749487275922</v>
      </c>
      <c r="O227" s="12">
        <f>O226/O114</f>
        <v>0.95766516160380055</v>
      </c>
      <c r="P227" s="12">
        <f>P226/P114</f>
        <v>0.55375029128156528</v>
      </c>
      <c r="Q227" s="12">
        <f>Q226/Q114</f>
        <v>0.17655708800495706</v>
      </c>
      <c r="R227" s="12">
        <f>R226/R114</f>
        <v>1.1780169014995921E-16</v>
      </c>
      <c r="S227" s="12">
        <f>S226/S114</f>
        <v>1.1209923085999836E-16</v>
      </c>
      <c r="T227" s="12">
        <f>T226/T114</f>
        <v>1.0698365829495095E-16</v>
      </c>
      <c r="U227" s="12">
        <f>U226/U114</f>
        <v>1.0229052695891048E-16</v>
      </c>
      <c r="V227" s="12">
        <f>V226/V114</f>
        <v>9.7974505941238986E-17</v>
      </c>
      <c r="W227" s="12">
        <f>W226/W114</f>
        <v>9.4044891863187858E-17</v>
      </c>
      <c r="X227" s="12">
        <f>X226/X114</f>
        <v>9.0399898498760109E-17</v>
      </c>
      <c r="Y227" s="12">
        <f>Y226/Y114</f>
        <v>8.7013142706403813E-17</v>
      </c>
      <c r="AA227" s="13" t="str">
        <f t="shared" ref="AA227:AA233" si="495">E227</f>
        <v>Total G's - X</v>
      </c>
    </row>
    <row r="228" spans="2:34" ht="15" customHeight="1">
      <c r="B228" s="32"/>
      <c r="C228" s="33"/>
      <c r="D228" s="33"/>
      <c r="E228" s="10" t="s">
        <v>53</v>
      </c>
      <c r="F228" s="7">
        <f t="shared" ref="F228" si="496">32.2*F227</f>
        <v>172.55481520357694</v>
      </c>
      <c r="G228" s="7">
        <f t="shared" ref="G228" si="497">32.2*G227</f>
        <v>146.39253067242581</v>
      </c>
      <c r="H228" s="7">
        <f t="shared" ref="H228" si="498">32.2*H227</f>
        <v>128.40149348324184</v>
      </c>
      <c r="I228" s="7">
        <f t="shared" ref="I228" si="499">32.2*I227</f>
        <v>115.28442032956244</v>
      </c>
      <c r="J228" s="7">
        <f t="shared" ref="J228" si="500">32.2*J227</f>
        <v>104.81720185107439</v>
      </c>
      <c r="K228" s="7">
        <f t="shared" ref="K228" si="501">32.2*K227</f>
        <v>95.860113904915636</v>
      </c>
      <c r="L228" s="7">
        <f t="shared" ref="L228" si="502">32.2*L227</f>
        <v>83.62625358746628</v>
      </c>
      <c r="M228" s="7">
        <f t="shared" ref="M228" si="503">32.2*M227</f>
        <v>67.934783535218003</v>
      </c>
      <c r="N228" s="7">
        <f t="shared" ref="N228" si="504">32.2*N227</f>
        <v>49.902753349028472</v>
      </c>
      <c r="O228" s="7">
        <f t="shared" ref="O228" si="505">32.2*O227</f>
        <v>30.83681820364238</v>
      </c>
      <c r="P228" s="7">
        <f t="shared" ref="P228" si="506">32.2*P227</f>
        <v>17.830759379266404</v>
      </c>
      <c r="Q228" s="7">
        <f t="shared" ref="Q228" si="507">32.2*Q227</f>
        <v>5.6851382337596181</v>
      </c>
      <c r="R228" s="7">
        <f t="shared" ref="R228" si="508">32.2*R227</f>
        <v>3.7932144228286871E-15</v>
      </c>
      <c r="S228" s="7">
        <f t="shared" ref="S228" si="509">32.2*S227</f>
        <v>3.6095952336919473E-15</v>
      </c>
      <c r="T228" s="7">
        <f t="shared" ref="T228" si="510">32.2*T227</f>
        <v>3.4448737970974206E-15</v>
      </c>
      <c r="U228" s="7">
        <f t="shared" ref="U228" si="511">32.2*U227</f>
        <v>3.2937549680769179E-15</v>
      </c>
      <c r="V228" s="7">
        <f t="shared" ref="V228" si="512">32.2*V227</f>
        <v>3.1547790913078956E-15</v>
      </c>
      <c r="W228" s="7">
        <f t="shared" ref="W228" si="513">32.2*W227</f>
        <v>3.0282455179946492E-15</v>
      </c>
      <c r="X228" s="7">
        <f t="shared" ref="X228" si="514">32.2*X227</f>
        <v>2.9108767316600756E-15</v>
      </c>
      <c r="Y228" s="7">
        <f>32.2*Y227</f>
        <v>2.8018231951462032E-15</v>
      </c>
      <c r="AA228" s="13" t="str">
        <f t="shared" si="495"/>
        <v>Average Acceleration X - Ft/sec/sec</v>
      </c>
    </row>
    <row r="229" spans="2:34" ht="15" customHeight="1">
      <c r="B229" s="32"/>
      <c r="C229" s="33"/>
      <c r="D229" s="33"/>
      <c r="E229" s="10" t="s">
        <v>56</v>
      </c>
      <c r="F229" s="7">
        <f t="shared" ref="F229" si="515">F228*$N$4</f>
        <v>3451.0963040715387</v>
      </c>
      <c r="G229" s="7">
        <f t="shared" ref="G229" si="516">G228*$N$4</f>
        <v>2927.850613448516</v>
      </c>
      <c r="H229" s="7">
        <f t="shared" ref="H229" si="517">H228*$N$4</f>
        <v>2568.029869664837</v>
      </c>
      <c r="I229" s="7">
        <f t="shared" ref="I229" si="518">I228*$N$4</f>
        <v>2305.6884065912486</v>
      </c>
      <c r="J229" s="7">
        <f t="shared" ref="J229" si="519">J228*$N$4</f>
        <v>2096.3440370214876</v>
      </c>
      <c r="K229" s="7">
        <f t="shared" ref="K229" si="520">K228*$N$4</f>
        <v>1917.2022780983127</v>
      </c>
      <c r="L229" s="7">
        <f t="shared" ref="L229" si="521">L228*$N$4</f>
        <v>1672.5250717493257</v>
      </c>
      <c r="M229" s="7">
        <f t="shared" ref="M229" si="522">M228*$N$4</f>
        <v>1358.6956707043601</v>
      </c>
      <c r="N229" s="7">
        <f t="shared" ref="N229" si="523">N228*$N$4</f>
        <v>998.05506698056945</v>
      </c>
      <c r="O229" s="7">
        <f t="shared" ref="O229" si="524">O228*$N$4</f>
        <v>616.73636407284766</v>
      </c>
      <c r="P229" s="7">
        <f t="shared" ref="P229" si="525">P228*$N$4</f>
        <v>356.61518758532804</v>
      </c>
      <c r="Q229" s="7">
        <f t="shared" ref="Q229" si="526">Q228*$N$4</f>
        <v>113.70276467519236</v>
      </c>
      <c r="R229" s="7">
        <f t="shared" ref="R229" si="527">R228*$N$4</f>
        <v>7.5864288456573736E-14</v>
      </c>
      <c r="S229" s="7">
        <f t="shared" ref="S229" si="528">S228*$N$4</f>
        <v>7.2191904673838943E-14</v>
      </c>
      <c r="T229" s="7">
        <f t="shared" ref="T229" si="529">T228*$N$4</f>
        <v>6.8897475941948409E-14</v>
      </c>
      <c r="U229" s="7">
        <f t="shared" ref="U229" si="530">U228*$N$4</f>
        <v>6.5875099361538359E-14</v>
      </c>
      <c r="V229" s="7">
        <f t="shared" ref="V229" si="531">V228*$N$4</f>
        <v>6.3095581826157906E-14</v>
      </c>
      <c r="W229" s="7">
        <f t="shared" ref="W229" si="532">W228*$N$4</f>
        <v>6.0564910359892982E-14</v>
      </c>
      <c r="X229" s="7">
        <f t="shared" ref="X229" si="533">X228*$N$4</f>
        <v>5.8217534633201514E-14</v>
      </c>
      <c r="Y229" s="7">
        <f>Y228*$N$4</f>
        <v>5.6036463902924064E-14</v>
      </c>
      <c r="AA229" s="13" t="str">
        <f t="shared" si="495"/>
        <v>Delta VX - Ft/Sec</v>
      </c>
    </row>
    <row r="230" spans="2:34" ht="15" customHeight="1">
      <c r="B230" s="32"/>
      <c r="C230" s="33"/>
      <c r="D230" s="33"/>
      <c r="E230" s="10" t="s">
        <v>106</v>
      </c>
      <c r="F230" s="8">
        <f t="shared" ref="F230" si="534">G230+F229</f>
        <v>20382.541634663565</v>
      </c>
      <c r="G230" s="8">
        <f t="shared" ref="G230" si="535">H230+G229</f>
        <v>16931.445330592025</v>
      </c>
      <c r="H230" s="8">
        <f t="shared" ref="H230" si="536">I230+H229</f>
        <v>14003.594717143509</v>
      </c>
      <c r="I230" s="8">
        <f t="shared" ref="I230" si="537">J230+I229</f>
        <v>11435.564847478672</v>
      </c>
      <c r="J230" s="8">
        <f t="shared" ref="J230" si="538">K230+J229</f>
        <v>9129.8764408874231</v>
      </c>
      <c r="K230" s="8">
        <f t="shared" ref="K230" si="539">L230+K229</f>
        <v>7033.5324038659364</v>
      </c>
      <c r="L230" s="8">
        <f t="shared" ref="L230" si="540">M230+L229</f>
        <v>5116.3301257676239</v>
      </c>
      <c r="M230" s="8">
        <f t="shared" ref="M230" si="541">N230+M229</f>
        <v>3443.8050540182981</v>
      </c>
      <c r="N230" s="8">
        <f t="shared" ref="N230" si="542">O230+N229</f>
        <v>2085.109383313938</v>
      </c>
      <c r="O230" s="8">
        <f t="shared" ref="O230" si="543">P230+O229</f>
        <v>1087.0543163333687</v>
      </c>
      <c r="P230" s="8">
        <f t="shared" ref="P230" si="544">Q230+P229</f>
        <v>470.31795226052094</v>
      </c>
      <c r="Q230" s="8">
        <f t="shared" ref="Q230" si="545">R230+Q229</f>
        <v>113.70276467519288</v>
      </c>
      <c r="R230" s="8">
        <f t="shared" ref="R230" si="546">S230+R229</f>
        <v>5.2074325915607585E-13</v>
      </c>
      <c r="S230" s="8">
        <f t="shared" ref="S230" si="547">T230+S229</f>
        <v>4.4487897069950216E-13</v>
      </c>
      <c r="T230" s="8">
        <f t="shared" ref="T230" si="548">U230+T229</f>
        <v>3.7268706602566321E-13</v>
      </c>
      <c r="U230" s="8">
        <f t="shared" ref="U230" si="549">V230+U229</f>
        <v>3.0378959008371482E-13</v>
      </c>
      <c r="V230" s="8">
        <f t="shared" ref="V230" si="550">W230+V229</f>
        <v>2.3791449072217647E-13</v>
      </c>
      <c r="W230" s="8">
        <f t="shared" ref="W230" si="551">X230+W229</f>
        <v>1.7481890889601853E-13</v>
      </c>
      <c r="X230" s="8">
        <f t="shared" ref="X230" si="552">Y230+X229</f>
        <v>1.1425399853612557E-13</v>
      </c>
      <c r="Y230" s="8">
        <f>Z230+Y229</f>
        <v>5.6036463902924064E-14</v>
      </c>
      <c r="AA230" s="13" t="str">
        <f t="shared" si="495"/>
        <v>Final V-X - MPH</v>
      </c>
    </row>
    <row r="231" spans="2:34">
      <c r="E231" s="10" t="s">
        <v>11</v>
      </c>
      <c r="F231" s="7">
        <f t="shared" ref="F231" si="553">$N$4*(G230+F230)/2</f>
        <v>373139.86965255591</v>
      </c>
      <c r="G231" s="7">
        <f t="shared" ref="G231" si="554">$N$4*(H230+G230)/2</f>
        <v>309350.40047735535</v>
      </c>
      <c r="H231" s="7">
        <f t="shared" ref="H231" si="555">$N$4*(I230+H230)/2</f>
        <v>254391.59564622183</v>
      </c>
      <c r="I231" s="7">
        <f t="shared" ref="I231" si="556">$N$4*(J230+I230)/2</f>
        <v>205654.41288366096</v>
      </c>
      <c r="J231" s="7">
        <f t="shared" ref="J231" si="557">$N$4*(K230+J230)/2</f>
        <v>161634.08844753361</v>
      </c>
      <c r="K231" s="7">
        <f t="shared" ref="K231" si="558">$N$4*(L230+K230)/2</f>
        <v>121498.62529633559</v>
      </c>
      <c r="L231" s="7">
        <f t="shared" ref="L231" si="559">$N$4*(M230+L230)/2</f>
        <v>85601.351797859228</v>
      </c>
      <c r="M231" s="7">
        <f t="shared" ref="M231" si="560">$N$4*(N230+M230)/2</f>
        <v>55289.144373322357</v>
      </c>
      <c r="N231" s="7">
        <f t="shared" ref="N231" si="561">$N$4*(O230+N230)/2</f>
        <v>31721.636996473066</v>
      </c>
      <c r="O231" s="7">
        <f t="shared" ref="O231" si="562">$N$4*(P230+O230)/2</f>
        <v>15573.722685938897</v>
      </c>
      <c r="P231" s="7">
        <f t="shared" ref="P231" si="563">$N$4*(Q230+P230)/2</f>
        <v>5840.2071693571379</v>
      </c>
      <c r="Q231" s="7">
        <f t="shared" ref="Q231" si="564">$N$4*(R230+Q230)/2</f>
        <v>1137.0276467519341</v>
      </c>
      <c r="R231" s="7">
        <f t="shared" ref="R231" si="565">$N$4*(S230+R230)/2</f>
        <v>9.6562222985557806E-12</v>
      </c>
      <c r="S231" s="7">
        <f t="shared" ref="S231" si="566">$N$4*(T230+S230)/2</f>
        <v>8.1756603672516531E-12</v>
      </c>
      <c r="T231" s="7">
        <f t="shared" ref="T231" si="567">$N$4*(U230+T230)/2</f>
        <v>6.7647665610937801E-12</v>
      </c>
      <c r="U231" s="7">
        <f t="shared" ref="U231" si="568">$N$4*(V230+U230)/2</f>
        <v>5.4170408080589131E-12</v>
      </c>
      <c r="V231" s="7">
        <f t="shared" ref="V231" si="569">$N$4*(W230+V230)/2</f>
        <v>4.1273339961819502E-12</v>
      </c>
      <c r="W231" s="7">
        <f t="shared" ref="W231" si="570">$N$4*(X230+W230)/2</f>
        <v>2.8907290743214409E-12</v>
      </c>
      <c r="X231" s="7">
        <f t="shared" ref="X231" si="571">$N$4*(Y230+X230)/2</f>
        <v>1.7029046243904965E-12</v>
      </c>
      <c r="Y231" s="7">
        <f>$N$4*(Z230+Y230)/2</f>
        <v>5.6036463902924066E-13</v>
      </c>
      <c r="AA231" s="13" t="str">
        <f t="shared" si="495"/>
        <v>Delta X - Ft</v>
      </c>
    </row>
    <row r="232" spans="2:34">
      <c r="E232" s="10" t="s">
        <v>25</v>
      </c>
      <c r="F232" s="7">
        <f t="shared" ref="F232" si="572">G232+F231</f>
        <v>1620832.083073366</v>
      </c>
      <c r="G232" s="7">
        <f t="shared" ref="G232" si="573">H232+G231</f>
        <v>1247692.2134208099</v>
      </c>
      <c r="H232" s="7">
        <f t="shared" ref="H232" si="574">I232+H231</f>
        <v>938341.8129434546</v>
      </c>
      <c r="I232" s="7">
        <f t="shared" ref="I232" si="575">J232+I231</f>
        <v>683950.21729723283</v>
      </c>
      <c r="J232" s="7">
        <f t="shared" ref="J232" si="576">K232+J231</f>
        <v>478295.8044135719</v>
      </c>
      <c r="K232" s="7">
        <f t="shared" ref="K232" si="577">L232+K231</f>
        <v>316661.71596603829</v>
      </c>
      <c r="L232" s="7">
        <f t="shared" ref="L232" si="578">M232+L231</f>
        <v>195163.09066970268</v>
      </c>
      <c r="M232" s="7">
        <f t="shared" ref="M232" si="579">N232+M231</f>
        <v>109561.73887184344</v>
      </c>
      <c r="N232" s="7">
        <f t="shared" ref="N232" si="580">O232+N231</f>
        <v>54272.594498521074</v>
      </c>
      <c r="O232" s="7">
        <f t="shared" ref="O232" si="581">P232+O231</f>
        <v>22550.957502048008</v>
      </c>
      <c r="P232" s="7">
        <f t="shared" ref="P232" si="582">Q232+P231</f>
        <v>6977.2348161091113</v>
      </c>
      <c r="Q232" s="7">
        <f t="shared" ref="Q232" si="583">R232+Q231</f>
        <v>1137.0276467519734</v>
      </c>
      <c r="R232" s="7">
        <f t="shared" ref="R232" si="584">S232+R231</f>
        <v>3.9295022368883254E-11</v>
      </c>
      <c r="S232" s="7">
        <f t="shared" ref="S232" si="585">T232+S231</f>
        <v>2.9638800070327477E-11</v>
      </c>
      <c r="T232" s="7">
        <f t="shared" ref="T232" si="586">U232+T231</f>
        <v>2.1463139703075822E-11</v>
      </c>
      <c r="U232" s="7">
        <f t="shared" ref="U232" si="587">V232+U231</f>
        <v>1.4698373141982043E-11</v>
      </c>
      <c r="V232" s="7">
        <f t="shared" ref="V232" si="588">W232+V231</f>
        <v>9.2813323339231286E-12</v>
      </c>
      <c r="W232" s="7">
        <f t="shared" ref="W232" si="589">X232+W231</f>
        <v>5.1539983377411776E-12</v>
      </c>
      <c r="X232" s="7">
        <f t="shared" ref="X232" si="590">Y232+X231</f>
        <v>2.2632692634197371E-12</v>
      </c>
      <c r="Y232" s="7">
        <f>Z232+Y231</f>
        <v>5.6036463902924066E-13</v>
      </c>
      <c r="AA232" s="13" t="str">
        <f t="shared" si="495"/>
        <v>Downrange  - Feet</v>
      </c>
    </row>
    <row r="233" spans="2:34">
      <c r="E233" s="51" t="s">
        <v>26</v>
      </c>
      <c r="F233" s="57">
        <f t="shared" ref="F233" si="591">F232/5280</f>
        <v>306.97577330934962</v>
      </c>
      <c r="G233" s="57">
        <f t="shared" ref="G233" si="592">G232/5280</f>
        <v>236.30534345091098</v>
      </c>
      <c r="H233" s="57">
        <f t="shared" ref="H233" si="593">H232/5280</f>
        <v>177.71625245141186</v>
      </c>
      <c r="I233" s="57">
        <f t="shared" ref="I233" si="594">I232/5280</f>
        <v>129.5360260032638</v>
      </c>
      <c r="J233" s="57">
        <f t="shared" ref="J233" si="595">J232/5280</f>
        <v>90.586326593479527</v>
      </c>
      <c r="K233" s="57">
        <f t="shared" ref="K233" si="596">K232/5280</f>
        <v>59.973809842052709</v>
      </c>
      <c r="L233" s="57">
        <f t="shared" ref="L233" si="597">L232/5280</f>
        <v>36.962706566231567</v>
      </c>
      <c r="M233" s="57">
        <f t="shared" ref="M233" si="598">M232/5280</f>
        <v>20.750329331788532</v>
      </c>
      <c r="N233" s="57">
        <f t="shared" ref="N233" si="599">N232/5280</f>
        <v>10.278900473204748</v>
      </c>
      <c r="O233" s="57">
        <f t="shared" ref="O233" si="600">O232/5280</f>
        <v>4.2710146784181831</v>
      </c>
      <c r="P233" s="57">
        <f t="shared" ref="P233" si="601">P232/5280</f>
        <v>1.3214459878994529</v>
      </c>
      <c r="Q233" s="57">
        <f t="shared" ref="Q233" si="602">Q232/5280</f>
        <v>0.21534614521817677</v>
      </c>
      <c r="R233" s="57">
        <f t="shared" ref="R233" si="603">R232/5280</f>
        <v>7.4422390850157671E-15</v>
      </c>
      <c r="S233" s="57">
        <f t="shared" ref="S233" si="604">S232/5280</f>
        <v>5.6134091042286889E-15</v>
      </c>
      <c r="T233" s="57">
        <f t="shared" ref="T233" si="605">T232/5280</f>
        <v>4.0649885801279967E-15</v>
      </c>
      <c r="U233" s="57">
        <f t="shared" ref="U233" si="606">U232/5280</f>
        <v>2.7837827920420536E-15</v>
      </c>
      <c r="V233" s="57">
        <f t="shared" ref="V233" si="607">V232/5280</f>
        <v>1.7578280935460471E-15</v>
      </c>
      <c r="W233" s="57">
        <f t="shared" ref="W233" si="608">W232/5280</f>
        <v>9.7613604881461702E-16</v>
      </c>
      <c r="X233" s="57">
        <f t="shared" ref="X233" si="609">X232/5280</f>
        <v>4.2864948170828353E-16</v>
      </c>
      <c r="Y233" s="57"/>
      <c r="AA233" s="13" t="str">
        <f t="shared" si="495"/>
        <v>Downrange - Miles</v>
      </c>
    </row>
    <row r="234" spans="2:34">
      <c r="E234" s="10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AA234" s="13"/>
    </row>
    <row r="235" spans="2:34">
      <c r="E235" s="51" t="s">
        <v>59</v>
      </c>
      <c r="F235" s="56">
        <f>SQRT(F230^2+F220^2)</f>
        <v>20627.659499620626</v>
      </c>
      <c r="G235" s="56">
        <f t="shared" ref="G235:Y235" si="610">SQRT(G230^2+G220^2)</f>
        <v>17242.179904668905</v>
      </c>
      <c r="H235" s="56">
        <f t="shared" si="610"/>
        <v>14424.136558267139</v>
      </c>
      <c r="I235" s="56">
        <f t="shared" si="610"/>
        <v>12025.996774282603</v>
      </c>
      <c r="J235" s="56">
        <f t="shared" si="610"/>
        <v>9978.9092480808631</v>
      </c>
      <c r="K235" s="56">
        <f t="shared" si="610"/>
        <v>8276.4180037640926</v>
      </c>
      <c r="L235" s="56">
        <f t="shared" si="610"/>
        <v>6897.0248427716306</v>
      </c>
      <c r="M235" s="56">
        <f t="shared" si="610"/>
        <v>5747.1688422267498</v>
      </c>
      <c r="N235" s="56">
        <f t="shared" si="610"/>
        <v>4827.1037760607505</v>
      </c>
      <c r="O235" s="56">
        <f t="shared" si="610"/>
        <v>4098.0223186137173</v>
      </c>
      <c r="P235" s="56">
        <f t="shared" si="610"/>
        <v>3495.6194390815467</v>
      </c>
      <c r="Q235" s="56">
        <f t="shared" si="610"/>
        <v>2977.2878981307999</v>
      </c>
      <c r="R235" s="56">
        <f t="shared" si="610"/>
        <v>2511.1876523351652</v>
      </c>
      <c r="S235" s="56">
        <f t="shared" si="610"/>
        <v>2092.0978461426989</v>
      </c>
      <c r="T235" s="56">
        <f t="shared" si="610"/>
        <v>1717.8289531217581</v>
      </c>
      <c r="U235" s="56">
        <f t="shared" si="610"/>
        <v>1387.6775212312741</v>
      </c>
      <c r="V235" s="56">
        <f t="shared" si="610"/>
        <v>1103.6069160495849</v>
      </c>
      <c r="W235" s="56">
        <f t="shared" si="610"/>
        <v>865.66908023729798</v>
      </c>
      <c r="X235" s="56">
        <f t="shared" si="610"/>
        <v>658.88042867989054</v>
      </c>
      <c r="Y235" s="56">
        <f t="shared" si="610"/>
        <v>472.28753040327257</v>
      </c>
      <c r="Z235" s="55"/>
      <c r="AA235" s="53" t="str">
        <f t="shared" ref="AA235:AA236" si="611">E235</f>
        <v>Axial Velocity - MPH</v>
      </c>
    </row>
    <row r="236" spans="2:34">
      <c r="E236" s="51" t="s">
        <v>83</v>
      </c>
      <c r="F236" s="58">
        <f>SQRT(F216^2+F227^2)</f>
        <v>5.3626225206611977</v>
      </c>
      <c r="G236" s="58">
        <f t="shared" ref="G236:Y236" si="612">SQRT(G216^2+G227^2)</f>
        <v>4.5689917282557859</v>
      </c>
      <c r="H236" s="58">
        <f t="shared" si="612"/>
        <v>4.0330320334824057</v>
      </c>
      <c r="I236" s="58">
        <f t="shared" si="612"/>
        <v>3.6478177142571231</v>
      </c>
      <c r="J236" s="58">
        <f t="shared" si="612"/>
        <v>3.3434889230835854</v>
      </c>
      <c r="K236" s="58">
        <f t="shared" si="612"/>
        <v>3.0369920071957375</v>
      </c>
      <c r="L236" s="58">
        <f t="shared" si="612"/>
        <v>2.5976695826343223</v>
      </c>
      <c r="M236" s="58">
        <f t="shared" si="612"/>
        <v>2.1842060733429696</v>
      </c>
      <c r="N236" s="58">
        <f t="shared" si="612"/>
        <v>1.8016148266273417</v>
      </c>
      <c r="O236" s="58">
        <f t="shared" si="612"/>
        <v>1.4682513822184959</v>
      </c>
      <c r="P236" s="58">
        <f t="shared" si="612"/>
        <v>1.2458328775366518</v>
      </c>
      <c r="Q236" s="58">
        <f t="shared" si="612"/>
        <v>1.0740021785957967</v>
      </c>
      <c r="R236" s="58">
        <f t="shared" si="612"/>
        <v>0.957000836208592</v>
      </c>
      <c r="S236" s="58">
        <f t="shared" si="612"/>
        <v>0.85465129023780728</v>
      </c>
      <c r="T236" s="58">
        <f t="shared" si="612"/>
        <v>0.75390809255225633</v>
      </c>
      <c r="U236" s="58">
        <f t="shared" si="612"/>
        <v>0.64868150616936682</v>
      </c>
      <c r="V236" s="58">
        <f t="shared" si="612"/>
        <v>0.54333630757281437</v>
      </c>
      <c r="W236" s="58">
        <f t="shared" si="612"/>
        <v>0.47220645678984152</v>
      </c>
      <c r="X236" s="58">
        <f t="shared" si="612"/>
        <v>0.4260890077562523</v>
      </c>
      <c r="Y236" s="58">
        <f t="shared" si="612"/>
        <v>0.39342238400454999</v>
      </c>
      <c r="AA236" s="13" t="str">
        <f t="shared" si="611"/>
        <v>Axial G's</v>
      </c>
    </row>
    <row r="237" spans="2:34">
      <c r="E237" s="51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AA237" s="13"/>
    </row>
    <row r="238" spans="2:34" ht="15" thickBot="1">
      <c r="E238" s="51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AA238" s="13"/>
      <c r="AD238" s="61"/>
      <c r="AE238" s="61"/>
      <c r="AF238" s="61"/>
      <c r="AG238" s="61"/>
      <c r="AH238" s="63"/>
    </row>
    <row r="239" spans="2:34" ht="21.6" thickBot="1">
      <c r="B239" s="26" t="s">
        <v>115</v>
      </c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8"/>
    </row>
    <row r="240" spans="2:34" ht="21">
      <c r="E240" s="10" t="s">
        <v>91</v>
      </c>
      <c r="F240" s="1">
        <v>1</v>
      </c>
      <c r="G240" s="1">
        <v>2</v>
      </c>
      <c r="H240" s="1">
        <v>3</v>
      </c>
      <c r="I240" s="1">
        <v>4</v>
      </c>
      <c r="J240" s="1">
        <v>5</v>
      </c>
      <c r="K240" s="1">
        <v>6</v>
      </c>
      <c r="L240" s="1">
        <v>7</v>
      </c>
      <c r="M240" s="1">
        <v>8</v>
      </c>
      <c r="N240" s="1">
        <v>9</v>
      </c>
      <c r="O240" s="1">
        <v>10</v>
      </c>
      <c r="P240" s="1">
        <v>11</v>
      </c>
      <c r="Q240" s="1">
        <v>12</v>
      </c>
      <c r="R240" s="1">
        <v>13</v>
      </c>
      <c r="S240" s="1">
        <v>14</v>
      </c>
      <c r="T240" s="1">
        <v>15</v>
      </c>
      <c r="U240" s="1">
        <v>16</v>
      </c>
      <c r="V240" s="1">
        <v>17</v>
      </c>
      <c r="W240" s="1">
        <v>18</v>
      </c>
      <c r="X240" s="1">
        <v>19</v>
      </c>
      <c r="Y240" s="1">
        <v>20</v>
      </c>
      <c r="AA240" t="s">
        <v>96</v>
      </c>
      <c r="AC240" s="68" t="s">
        <v>78</v>
      </c>
      <c r="AD240" s="38"/>
      <c r="AE240" s="38"/>
      <c r="AF240" s="38"/>
      <c r="AG240" s="69" t="s">
        <v>101</v>
      </c>
    </row>
    <row r="241" spans="5:33">
      <c r="E241" s="10" t="s">
        <v>74</v>
      </c>
      <c r="F241" s="14">
        <f>Y233</f>
        <v>0</v>
      </c>
      <c r="G241" s="14">
        <f>X233</f>
        <v>4.2864948170828353E-16</v>
      </c>
      <c r="H241" s="14">
        <f>W233</f>
        <v>9.7613604881461702E-16</v>
      </c>
      <c r="I241" s="14">
        <f>V233</f>
        <v>1.7578280935460471E-15</v>
      </c>
      <c r="J241" s="14">
        <f>U233</f>
        <v>2.7837827920420536E-15</v>
      </c>
      <c r="K241" s="14">
        <f>T233</f>
        <v>4.0649885801279967E-15</v>
      </c>
      <c r="L241" s="14">
        <f>S233</f>
        <v>5.6134091042286889E-15</v>
      </c>
      <c r="M241" s="14">
        <f>R233</f>
        <v>7.4422390850157671E-15</v>
      </c>
      <c r="N241" s="14">
        <f>Q233</f>
        <v>0.21534614521817677</v>
      </c>
      <c r="O241" s="14">
        <f>P233</f>
        <v>1.3214459878994529</v>
      </c>
      <c r="P241" s="14">
        <f>O233</f>
        <v>4.2710146784181831</v>
      </c>
      <c r="Q241" s="14">
        <f>N233</f>
        <v>10.278900473204748</v>
      </c>
      <c r="R241" s="14">
        <f>M233</f>
        <v>20.750329331788532</v>
      </c>
      <c r="S241" s="14">
        <f>L233</f>
        <v>36.962706566231567</v>
      </c>
      <c r="T241" s="14">
        <f>K233</f>
        <v>59.973809842052709</v>
      </c>
      <c r="U241" s="14">
        <f>J233</f>
        <v>90.586326593479527</v>
      </c>
      <c r="V241" s="14">
        <f>I233</f>
        <v>129.5360260032638</v>
      </c>
      <c r="W241" s="14">
        <f>H233</f>
        <v>177.71625245141186</v>
      </c>
      <c r="X241" s="14">
        <f>G233</f>
        <v>236.30534345091098</v>
      </c>
      <c r="Y241" s="14">
        <f>F233</f>
        <v>306.97577330934962</v>
      </c>
      <c r="AC241" s="60"/>
      <c r="AD241" s="61" t="s">
        <v>79</v>
      </c>
      <c r="AE241" s="62">
        <f>Y37</f>
        <v>18376</v>
      </c>
      <c r="AF241" s="63">
        <v>2000</v>
      </c>
      <c r="AG241" s="64">
        <f>AE241*AF241</f>
        <v>36752000</v>
      </c>
    </row>
    <row r="242" spans="5:33">
      <c r="E242" s="10" t="s">
        <v>75</v>
      </c>
      <c r="F242" s="14">
        <f>Y223</f>
        <v>1.7088778984910464</v>
      </c>
      <c r="G242" s="14">
        <f>X223</f>
        <v>3.8512414573606732</v>
      </c>
      <c r="H242" s="14">
        <f>W223</f>
        <v>6.7386458303098955</v>
      </c>
      <c r="I242" s="14">
        <f>V223</f>
        <v>10.468335217216872</v>
      </c>
      <c r="J242" s="14">
        <f>U223</f>
        <v>15.186676954491228</v>
      </c>
      <c r="K242" s="14">
        <f>T223</f>
        <v>21.068318004402272</v>
      </c>
      <c r="L242" s="14">
        <f>S223</f>
        <v>28.284088457554653</v>
      </c>
      <c r="M242" s="14">
        <f>R223</f>
        <v>37.00243220467182</v>
      </c>
      <c r="N242" s="14">
        <f>Q223</f>
        <v>47.39315872224612</v>
      </c>
      <c r="O242" s="14">
        <f>P223</f>
        <v>59.588142503992152</v>
      </c>
      <c r="P242" s="14">
        <f>O223</f>
        <v>73.631798697599706</v>
      </c>
      <c r="Q242" s="14">
        <f>N223</f>
        <v>89.360488089190611</v>
      </c>
      <c r="R242" s="14">
        <f>M223</f>
        <v>106.32002757020763</v>
      </c>
      <c r="S242" s="14">
        <f>L223</f>
        <v>123.79401469632388</v>
      </c>
      <c r="T242" s="14">
        <f>K223</f>
        <v>140.81547341305739</v>
      </c>
      <c r="U242" s="14">
        <f>J223</f>
        <v>156.70575706103435</v>
      </c>
      <c r="V242" s="14">
        <f>I223</f>
        <v>171.38338883135276</v>
      </c>
      <c r="W242" s="14">
        <f>H223</f>
        <v>184.98091962195241</v>
      </c>
      <c r="X242" s="14">
        <f>G223</f>
        <v>197.7011414307795</v>
      </c>
      <c r="Y242" s="14">
        <f>F223</f>
        <v>209.87767727015532</v>
      </c>
      <c r="AC242" s="60"/>
      <c r="AD242" s="61" t="s">
        <v>80</v>
      </c>
      <c r="AE242" s="61"/>
      <c r="AF242" s="61"/>
      <c r="AG242" s="65">
        <v>4000000</v>
      </c>
    </row>
    <row r="243" spans="5:33">
      <c r="AC243" s="60"/>
      <c r="AD243" s="61"/>
      <c r="AE243" s="61"/>
      <c r="AF243" s="34" t="s">
        <v>94</v>
      </c>
      <c r="AG243" s="64">
        <f>AG241+AG242</f>
        <v>40752000</v>
      </c>
    </row>
    <row r="244" spans="5:33" ht="15" thickBot="1">
      <c r="U244" s="9" t="s">
        <v>99</v>
      </c>
      <c r="V244" s="8">
        <f>F220</f>
        <v>3170.5414275002499</v>
      </c>
      <c r="X244" t="str">
        <f>"Velocity Y  ="&amp;TEXT(F220,"#,#")&amp;"  MPH"</f>
        <v>Velocity Y  =3,171  MPH</v>
      </c>
      <c r="AC244" s="66"/>
      <c r="AD244" s="46"/>
      <c r="AE244" s="46"/>
      <c r="AF244" s="43" t="s">
        <v>95</v>
      </c>
      <c r="AG244" s="67">
        <f>AG243/Y110/1000</f>
        <v>2037.6</v>
      </c>
    </row>
    <row r="245" spans="5:33">
      <c r="U245" s="9" t="s">
        <v>100</v>
      </c>
      <c r="V245" s="8">
        <f>F235</f>
        <v>20627.659499620626</v>
      </c>
      <c r="X245" t="str">
        <f>"Velocity Y  ="&amp;TEXT(V245,"#,#")&amp;"  MPH"</f>
        <v>Velocity Y  =20,628  MPH</v>
      </c>
    </row>
    <row r="246" spans="5:33">
      <c r="U246" s="9" t="s">
        <v>97</v>
      </c>
      <c r="V246" s="14">
        <f>F223</f>
        <v>209.87767727015532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Goeggel</dc:creator>
  <cp:lastModifiedBy>Geoff Goeggel</cp:lastModifiedBy>
  <dcterms:created xsi:type="dcterms:W3CDTF">2009-01-11T22:17:44Z</dcterms:created>
  <dcterms:modified xsi:type="dcterms:W3CDTF">2009-01-20T20:33:24Z</dcterms:modified>
</cp:coreProperties>
</file>